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codeName="ThisWorkbook" autoCompressPictures="0"/>
  <bookViews>
    <workbookView xWindow="0" yWindow="0" windowWidth="38400" windowHeight="20380"/>
  </bookViews>
  <sheets>
    <sheet name="Facebook Ads Report" sheetId="1" r:id="rId1"/>
    <sheet name="per Ad" sheetId="2" r:id="rId2"/>
    <sheet name="Demographics" sheetId="3" r:id="rId3"/>
    <sheet name="RAW data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20" i="3" l="1"/>
  <c r="K320" i="3"/>
  <c r="J320" i="3"/>
  <c r="I320" i="3"/>
  <c r="L319" i="3"/>
  <c r="K319" i="3"/>
  <c r="J319" i="3"/>
  <c r="I319" i="3"/>
  <c r="L318" i="3"/>
  <c r="K318" i="3"/>
  <c r="J318" i="3"/>
  <c r="I318" i="3"/>
  <c r="L317" i="3"/>
  <c r="K317" i="3"/>
  <c r="J317" i="3"/>
  <c r="I317" i="3"/>
  <c r="L316" i="3"/>
  <c r="K316" i="3"/>
  <c r="J316" i="3"/>
  <c r="I316" i="3"/>
  <c r="L315" i="3"/>
  <c r="K315" i="3"/>
  <c r="J315" i="3"/>
  <c r="I315" i="3"/>
  <c r="L314" i="3"/>
  <c r="K314" i="3"/>
  <c r="J314" i="3"/>
  <c r="I314" i="3"/>
  <c r="L313" i="3"/>
  <c r="K313" i="3"/>
  <c r="J313" i="3"/>
  <c r="I313" i="3"/>
  <c r="L312" i="3"/>
  <c r="K312" i="3"/>
  <c r="J312" i="3"/>
  <c r="I312" i="3"/>
  <c r="L311" i="3"/>
  <c r="K311" i="3"/>
  <c r="J311" i="3"/>
  <c r="I311" i="3"/>
  <c r="L310" i="3"/>
  <c r="K310" i="3"/>
  <c r="J310" i="3"/>
  <c r="I310" i="3"/>
  <c r="L309" i="3"/>
  <c r="K309" i="3"/>
  <c r="J309" i="3"/>
  <c r="I309" i="3"/>
  <c r="L308" i="3"/>
  <c r="K308" i="3"/>
  <c r="J308" i="3"/>
  <c r="I308" i="3"/>
  <c r="L307" i="3"/>
  <c r="K307" i="3"/>
  <c r="J307" i="3"/>
  <c r="I307" i="3"/>
  <c r="L306" i="3"/>
  <c r="K306" i="3"/>
  <c r="J306" i="3"/>
  <c r="I306" i="3"/>
  <c r="L305" i="3"/>
  <c r="K305" i="3"/>
  <c r="J305" i="3"/>
  <c r="I305" i="3"/>
  <c r="L304" i="3"/>
  <c r="K304" i="3"/>
  <c r="J304" i="3"/>
  <c r="I304" i="3"/>
  <c r="K303" i="3"/>
  <c r="J303" i="3"/>
  <c r="I303" i="3"/>
  <c r="L177" i="3"/>
  <c r="K177" i="3"/>
  <c r="J177" i="3"/>
  <c r="I177" i="3"/>
  <c r="H177" i="3"/>
  <c r="L176" i="3"/>
  <c r="K176" i="3"/>
  <c r="J176" i="3"/>
  <c r="I176" i="3"/>
  <c r="H176" i="3"/>
  <c r="L175" i="3"/>
  <c r="K175" i="3"/>
  <c r="J175" i="3"/>
  <c r="I175" i="3"/>
  <c r="H175" i="3"/>
  <c r="L174" i="3"/>
  <c r="K174" i="3"/>
  <c r="J174" i="3"/>
  <c r="I174" i="3"/>
  <c r="H174" i="3"/>
  <c r="L173" i="3"/>
  <c r="K173" i="3"/>
  <c r="J173" i="3"/>
  <c r="I173" i="3"/>
  <c r="H173" i="3"/>
  <c r="L172" i="3"/>
  <c r="K172" i="3"/>
  <c r="J172" i="3"/>
  <c r="I172" i="3"/>
  <c r="H172" i="3"/>
  <c r="L171" i="3"/>
  <c r="K171" i="3"/>
  <c r="J171" i="3"/>
  <c r="I171" i="3"/>
  <c r="H171" i="3"/>
  <c r="L170" i="3"/>
  <c r="K170" i="3"/>
  <c r="J170" i="3"/>
  <c r="I170" i="3"/>
  <c r="H170" i="3"/>
  <c r="L169" i="3"/>
  <c r="K169" i="3"/>
  <c r="J169" i="3"/>
  <c r="I169" i="3"/>
  <c r="H169" i="3"/>
  <c r="L168" i="3"/>
  <c r="K168" i="3"/>
  <c r="J168" i="3"/>
  <c r="I168" i="3"/>
  <c r="H168" i="3"/>
  <c r="L167" i="3"/>
  <c r="K167" i="3"/>
  <c r="J167" i="3"/>
  <c r="I167" i="3"/>
  <c r="H167" i="3"/>
  <c r="L166" i="3"/>
  <c r="K166" i="3"/>
  <c r="J166" i="3"/>
  <c r="I166" i="3"/>
  <c r="H166" i="3"/>
  <c r="L165" i="3"/>
  <c r="K165" i="3"/>
  <c r="J165" i="3"/>
  <c r="I165" i="3"/>
  <c r="H165" i="3"/>
  <c r="L164" i="3"/>
  <c r="K164" i="3"/>
  <c r="J164" i="3"/>
  <c r="I164" i="3"/>
  <c r="H164" i="3"/>
  <c r="L163" i="3"/>
  <c r="K163" i="3"/>
  <c r="J163" i="3"/>
  <c r="I163" i="3"/>
  <c r="H163" i="3"/>
  <c r="L162" i="3"/>
  <c r="K162" i="3"/>
  <c r="J162" i="3"/>
  <c r="I162" i="3"/>
  <c r="H162" i="3"/>
  <c r="L161" i="3"/>
  <c r="K161" i="3"/>
  <c r="J161" i="3"/>
  <c r="I161" i="3"/>
  <c r="H161" i="3"/>
  <c r="K163" i="2"/>
  <c r="J163" i="2"/>
  <c r="I163" i="2"/>
  <c r="H163" i="2"/>
  <c r="G163" i="2"/>
  <c r="K162" i="2"/>
  <c r="J162" i="2"/>
  <c r="I162" i="2"/>
  <c r="H162" i="2"/>
  <c r="G162" i="2"/>
  <c r="K161" i="2"/>
  <c r="J161" i="2"/>
  <c r="I161" i="2"/>
  <c r="H161" i="2"/>
  <c r="G161" i="2"/>
  <c r="K160" i="2"/>
  <c r="J160" i="2"/>
  <c r="I160" i="2"/>
  <c r="H160" i="2"/>
  <c r="G160" i="2"/>
  <c r="K159" i="2"/>
  <c r="J159" i="2"/>
  <c r="I159" i="2"/>
  <c r="H159" i="2"/>
  <c r="G159" i="2"/>
  <c r="K158" i="2"/>
  <c r="J158" i="2"/>
  <c r="I158" i="2"/>
  <c r="H158" i="2"/>
  <c r="G158" i="2"/>
  <c r="K157" i="2"/>
  <c r="J157" i="2"/>
  <c r="I157" i="2"/>
  <c r="H157" i="2"/>
  <c r="G157" i="2"/>
  <c r="K156" i="2"/>
  <c r="J156" i="2"/>
  <c r="I156" i="2"/>
  <c r="H156" i="2"/>
  <c r="G156" i="2"/>
  <c r="I155" i="2"/>
  <c r="H155" i="2"/>
  <c r="G155" i="2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J90" i="1"/>
  <c r="J91" i="1"/>
  <c r="J92" i="1"/>
  <c r="J93" i="1"/>
  <c r="J94" i="1"/>
  <c r="J95" i="1"/>
  <c r="J96" i="1"/>
  <c r="F96" i="1"/>
  <c r="G96" i="1"/>
  <c r="G95" i="1"/>
  <c r="G94" i="1"/>
  <c r="G93" i="1"/>
  <c r="G92" i="1"/>
  <c r="G91" i="1"/>
  <c r="G90" i="1"/>
  <c r="B96" i="1"/>
  <c r="C96" i="1"/>
  <c r="C95" i="1"/>
  <c r="C94" i="1"/>
  <c r="C93" i="1"/>
  <c r="C92" i="1"/>
  <c r="C91" i="1"/>
  <c r="C90" i="1"/>
  <c r="I345" i="3"/>
  <c r="H345" i="3"/>
  <c r="G345" i="3"/>
  <c r="F345" i="3"/>
  <c r="E345" i="3"/>
  <c r="D345" i="3"/>
  <c r="C345" i="3"/>
  <c r="H303" i="3"/>
  <c r="L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L321" i="3"/>
  <c r="K321" i="3"/>
  <c r="J321" i="3"/>
  <c r="I321" i="3"/>
  <c r="H321" i="3"/>
  <c r="G321" i="3"/>
  <c r="F321" i="3"/>
  <c r="E321" i="3"/>
  <c r="D321" i="3"/>
  <c r="C321" i="3"/>
  <c r="D297" i="3"/>
  <c r="C297" i="3"/>
  <c r="D249" i="3"/>
  <c r="C249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K202" i="3"/>
  <c r="J202" i="3"/>
  <c r="I202" i="3"/>
  <c r="H202" i="3"/>
  <c r="G202" i="3"/>
  <c r="F202" i="3"/>
  <c r="E202" i="3"/>
  <c r="C202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F178" i="3"/>
  <c r="E157" i="3"/>
  <c r="L178" i="3"/>
  <c r="E178" i="3"/>
  <c r="D157" i="3"/>
  <c r="K178" i="3"/>
  <c r="D178" i="3"/>
  <c r="C157" i="3"/>
  <c r="J178" i="3"/>
  <c r="C178" i="3"/>
  <c r="I178" i="3"/>
  <c r="H178" i="3"/>
  <c r="L160" i="3"/>
  <c r="K160" i="3"/>
  <c r="J160" i="3"/>
  <c r="I160" i="3"/>
  <c r="H160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K157" i="3"/>
  <c r="J157" i="3"/>
  <c r="I157" i="3"/>
  <c r="H157" i="3"/>
  <c r="G157" i="3"/>
  <c r="F157" i="3"/>
  <c r="J156" i="3"/>
  <c r="I156" i="3"/>
  <c r="H156" i="3"/>
  <c r="J155" i="3"/>
  <c r="I155" i="3"/>
  <c r="H155" i="3"/>
  <c r="J154" i="3"/>
  <c r="I154" i="3"/>
  <c r="H154" i="3"/>
  <c r="J153" i="3"/>
  <c r="I153" i="3"/>
  <c r="H153" i="3"/>
  <c r="J152" i="3"/>
  <c r="I152" i="3"/>
  <c r="H152" i="3"/>
  <c r="J151" i="3"/>
  <c r="I151" i="3"/>
  <c r="H151" i="3"/>
  <c r="J150" i="3"/>
  <c r="I150" i="3"/>
  <c r="H150" i="3"/>
  <c r="J149" i="3"/>
  <c r="I149" i="3"/>
  <c r="H149" i="3"/>
  <c r="J148" i="3"/>
  <c r="I148" i="3"/>
  <c r="H148" i="3"/>
  <c r="J147" i="3"/>
  <c r="I147" i="3"/>
  <c r="H147" i="3"/>
  <c r="J146" i="3"/>
  <c r="I146" i="3"/>
  <c r="H146" i="3"/>
  <c r="J145" i="3"/>
  <c r="I145" i="3"/>
  <c r="H145" i="3"/>
  <c r="J144" i="3"/>
  <c r="I144" i="3"/>
  <c r="H144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K118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G118" i="3"/>
  <c r="H118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C118" i="3"/>
  <c r="D118" i="3"/>
  <c r="K117" i="3"/>
  <c r="J117" i="3"/>
  <c r="H117" i="3"/>
  <c r="D117" i="3"/>
  <c r="K116" i="3"/>
  <c r="J116" i="3"/>
  <c r="H116" i="3"/>
  <c r="D116" i="3"/>
  <c r="K115" i="3"/>
  <c r="J115" i="3"/>
  <c r="H115" i="3"/>
  <c r="D115" i="3"/>
  <c r="K114" i="3"/>
  <c r="J114" i="3"/>
  <c r="H114" i="3"/>
  <c r="D114" i="3"/>
  <c r="K113" i="3"/>
  <c r="J113" i="3"/>
  <c r="H113" i="3"/>
  <c r="D113" i="3"/>
  <c r="K112" i="3"/>
  <c r="J112" i="3"/>
  <c r="H112" i="3"/>
  <c r="D112" i="3"/>
  <c r="K111" i="3"/>
  <c r="J111" i="3"/>
  <c r="H111" i="3"/>
  <c r="D111" i="3"/>
  <c r="K110" i="3"/>
  <c r="J110" i="3"/>
  <c r="H110" i="3"/>
  <c r="D110" i="3"/>
  <c r="K109" i="3"/>
  <c r="J109" i="3"/>
  <c r="H109" i="3"/>
  <c r="D109" i="3"/>
  <c r="K108" i="3"/>
  <c r="J108" i="3"/>
  <c r="H108" i="3"/>
  <c r="D108" i="3"/>
  <c r="K107" i="3"/>
  <c r="J107" i="3"/>
  <c r="H107" i="3"/>
  <c r="D107" i="3"/>
  <c r="K106" i="3"/>
  <c r="J106" i="3"/>
  <c r="H106" i="3"/>
  <c r="D106" i="3"/>
  <c r="K105" i="3"/>
  <c r="J105" i="3"/>
  <c r="H105" i="3"/>
  <c r="D105" i="3"/>
  <c r="K104" i="3"/>
  <c r="J104" i="3"/>
  <c r="H104" i="3"/>
  <c r="D104" i="3"/>
  <c r="K103" i="3"/>
  <c r="J103" i="3"/>
  <c r="H103" i="3"/>
  <c r="D103" i="3"/>
  <c r="K102" i="3"/>
  <c r="J102" i="3"/>
  <c r="H102" i="3"/>
  <c r="D102" i="3"/>
  <c r="K101" i="3"/>
  <c r="J101" i="3"/>
  <c r="H101" i="3"/>
  <c r="D101" i="3"/>
  <c r="K100" i="3"/>
  <c r="J100" i="3"/>
  <c r="H100" i="3"/>
  <c r="D10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E79" i="3"/>
  <c r="G79" i="3"/>
  <c r="F79" i="3"/>
  <c r="G78" i="3"/>
  <c r="D78" i="3"/>
  <c r="G77" i="3"/>
  <c r="D77" i="3"/>
  <c r="G76" i="3"/>
  <c r="D76" i="3"/>
  <c r="G75" i="3"/>
  <c r="D75" i="3"/>
  <c r="G74" i="3"/>
  <c r="D74" i="3"/>
  <c r="G73" i="3"/>
  <c r="D73" i="3"/>
  <c r="G72" i="3"/>
  <c r="D72" i="3"/>
  <c r="G71" i="3"/>
  <c r="D71" i="3"/>
  <c r="G70" i="3"/>
  <c r="D70" i="3"/>
  <c r="G69" i="3"/>
  <c r="D69" i="3"/>
  <c r="G68" i="3"/>
  <c r="D68" i="3"/>
  <c r="G67" i="3"/>
  <c r="D67" i="3"/>
  <c r="G66" i="3"/>
  <c r="D66" i="3"/>
  <c r="G65" i="3"/>
  <c r="D65" i="3"/>
  <c r="G64" i="3"/>
  <c r="D64" i="3"/>
  <c r="G63" i="3"/>
  <c r="D63" i="3"/>
  <c r="G62" i="3"/>
  <c r="D62" i="3"/>
  <c r="G61" i="3"/>
  <c r="D61" i="3"/>
  <c r="L60" i="3"/>
  <c r="K60" i="3"/>
  <c r="J60" i="3"/>
  <c r="C41" i="3"/>
  <c r="C40" i="3"/>
  <c r="C39" i="3"/>
  <c r="G38" i="3"/>
  <c r="C38" i="3"/>
  <c r="G37" i="3"/>
  <c r="C37" i="3"/>
  <c r="G36" i="3"/>
  <c r="C36" i="3"/>
  <c r="L33" i="3"/>
  <c r="K33" i="3"/>
  <c r="I33" i="3"/>
  <c r="H33" i="3"/>
  <c r="F33" i="3"/>
  <c r="D33" i="3"/>
  <c r="L32" i="3"/>
  <c r="K32" i="3"/>
  <c r="I32" i="3"/>
  <c r="H32" i="3"/>
  <c r="F32" i="3"/>
  <c r="D32" i="3"/>
  <c r="L31" i="3"/>
  <c r="K31" i="3"/>
  <c r="I31" i="3"/>
  <c r="H31" i="3"/>
  <c r="F31" i="3"/>
  <c r="D31" i="3"/>
  <c r="L30" i="3"/>
  <c r="K30" i="3"/>
  <c r="I30" i="3"/>
  <c r="H30" i="3"/>
  <c r="F30" i="3"/>
  <c r="D30" i="3"/>
  <c r="L29" i="3"/>
  <c r="K29" i="3"/>
  <c r="I29" i="3"/>
  <c r="H29" i="3"/>
  <c r="F29" i="3"/>
  <c r="D29" i="3"/>
  <c r="L28" i="3"/>
  <c r="K28" i="3"/>
  <c r="I28" i="3"/>
  <c r="H28" i="3"/>
  <c r="F28" i="3"/>
  <c r="D28" i="3"/>
  <c r="L27" i="3"/>
  <c r="K27" i="3"/>
  <c r="I27" i="3"/>
  <c r="H27" i="3"/>
  <c r="F27" i="3"/>
  <c r="D27" i="3"/>
  <c r="L26" i="3"/>
  <c r="K26" i="3"/>
  <c r="I26" i="3"/>
  <c r="H26" i="3"/>
  <c r="F26" i="3"/>
  <c r="D26" i="3"/>
  <c r="L25" i="3"/>
  <c r="K25" i="3"/>
  <c r="I25" i="3"/>
  <c r="H25" i="3"/>
  <c r="F25" i="3"/>
  <c r="D25" i="3"/>
  <c r="L24" i="3"/>
  <c r="K24" i="3"/>
  <c r="I24" i="3"/>
  <c r="H24" i="3"/>
  <c r="F24" i="3"/>
  <c r="D24" i="3"/>
  <c r="L23" i="3"/>
  <c r="K23" i="3"/>
  <c r="I23" i="3"/>
  <c r="H23" i="3"/>
  <c r="F23" i="3"/>
  <c r="D23" i="3"/>
  <c r="L22" i="3"/>
  <c r="K22" i="3"/>
  <c r="I22" i="3"/>
  <c r="H22" i="3"/>
  <c r="F22" i="3"/>
  <c r="D22" i="3"/>
  <c r="L21" i="3"/>
  <c r="K21" i="3"/>
  <c r="I21" i="3"/>
  <c r="H21" i="3"/>
  <c r="F21" i="3"/>
  <c r="D21" i="3"/>
  <c r="L20" i="3"/>
  <c r="K20" i="3"/>
  <c r="I20" i="3"/>
  <c r="H20" i="3"/>
  <c r="F20" i="3"/>
  <c r="D20" i="3"/>
  <c r="L19" i="3"/>
  <c r="K19" i="3"/>
  <c r="I19" i="3"/>
  <c r="H19" i="3"/>
  <c r="F19" i="3"/>
  <c r="D19" i="3"/>
  <c r="L18" i="3"/>
  <c r="K18" i="3"/>
  <c r="I18" i="3"/>
  <c r="H18" i="3"/>
  <c r="F18" i="3"/>
  <c r="D18" i="3"/>
  <c r="L17" i="3"/>
  <c r="K17" i="3"/>
  <c r="I17" i="3"/>
  <c r="H17" i="3"/>
  <c r="F17" i="3"/>
  <c r="D17" i="3"/>
  <c r="L16" i="3"/>
  <c r="K16" i="3"/>
  <c r="I16" i="3"/>
  <c r="H16" i="3"/>
  <c r="F16" i="3"/>
  <c r="D16" i="3"/>
  <c r="E164" i="2"/>
  <c r="D152" i="2"/>
  <c r="K164" i="2"/>
  <c r="D164" i="2"/>
  <c r="C152" i="2"/>
  <c r="J164" i="2"/>
  <c r="C164" i="2"/>
  <c r="B152" i="2"/>
  <c r="I164" i="2"/>
  <c r="B164" i="2"/>
  <c r="H164" i="2"/>
  <c r="G164" i="2"/>
  <c r="B112" i="2"/>
  <c r="K155" i="2"/>
  <c r="J155" i="2"/>
  <c r="K143" i="2"/>
  <c r="K144" i="2"/>
  <c r="K145" i="2"/>
  <c r="K146" i="2"/>
  <c r="K147" i="2"/>
  <c r="K148" i="2"/>
  <c r="K149" i="2"/>
  <c r="K150" i="2"/>
  <c r="K151" i="2"/>
  <c r="K152" i="2"/>
  <c r="J152" i="2"/>
  <c r="F152" i="2"/>
  <c r="I152" i="2"/>
  <c r="H152" i="2"/>
  <c r="G152" i="2"/>
  <c r="E152" i="2"/>
  <c r="I151" i="2"/>
  <c r="H151" i="2"/>
  <c r="G151" i="2"/>
  <c r="I150" i="2"/>
  <c r="H150" i="2"/>
  <c r="G150" i="2"/>
  <c r="I149" i="2"/>
  <c r="H149" i="2"/>
  <c r="G149" i="2"/>
  <c r="I148" i="2"/>
  <c r="H148" i="2"/>
  <c r="G148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J112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F112" i="2"/>
  <c r="G112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C112" i="2"/>
  <c r="J111" i="2"/>
  <c r="I111" i="2"/>
  <c r="G111" i="2"/>
  <c r="C111" i="2"/>
  <c r="J110" i="2"/>
  <c r="I110" i="2"/>
  <c r="G110" i="2"/>
  <c r="C110" i="2"/>
  <c r="J109" i="2"/>
  <c r="I109" i="2"/>
  <c r="G109" i="2"/>
  <c r="C109" i="2"/>
  <c r="J108" i="2"/>
  <c r="I108" i="2"/>
  <c r="G108" i="2"/>
  <c r="C108" i="2"/>
  <c r="J107" i="2"/>
  <c r="I107" i="2"/>
  <c r="G107" i="2"/>
  <c r="C107" i="2"/>
  <c r="J106" i="2"/>
  <c r="I106" i="2"/>
  <c r="G106" i="2"/>
  <c r="C106" i="2"/>
  <c r="J105" i="2"/>
  <c r="I105" i="2"/>
  <c r="G105" i="2"/>
  <c r="C105" i="2"/>
  <c r="J104" i="2"/>
  <c r="I104" i="2"/>
  <c r="G104" i="2"/>
  <c r="C104" i="2"/>
  <c r="J103" i="2"/>
  <c r="I103" i="2"/>
  <c r="G103" i="2"/>
  <c r="C103" i="2"/>
  <c r="J102" i="2"/>
  <c r="I102" i="2"/>
  <c r="G102" i="2"/>
  <c r="C102" i="2"/>
  <c r="J101" i="2"/>
  <c r="I101" i="2"/>
  <c r="G101" i="2"/>
  <c r="C101" i="2"/>
  <c r="J100" i="2"/>
  <c r="I100" i="2"/>
  <c r="G100" i="2"/>
  <c r="C100" i="2"/>
  <c r="J99" i="2"/>
  <c r="I99" i="2"/>
  <c r="G99" i="2"/>
  <c r="C99" i="2"/>
  <c r="J98" i="2"/>
  <c r="I98" i="2"/>
  <c r="G98" i="2"/>
  <c r="C98" i="2"/>
  <c r="J97" i="2"/>
  <c r="I97" i="2"/>
  <c r="G97" i="2"/>
  <c r="C97" i="2"/>
  <c r="J96" i="2"/>
  <c r="I96" i="2"/>
  <c r="G96" i="2"/>
  <c r="C96" i="2"/>
  <c r="J95" i="2"/>
  <c r="I95" i="2"/>
  <c r="G95" i="2"/>
  <c r="C95" i="2"/>
  <c r="J94" i="2"/>
  <c r="I94" i="2"/>
  <c r="G94" i="2"/>
  <c r="C94" i="2"/>
  <c r="J93" i="2"/>
  <c r="I93" i="2"/>
  <c r="G93" i="2"/>
  <c r="C93" i="2"/>
  <c r="J92" i="2"/>
  <c r="I92" i="2"/>
  <c r="G92" i="2"/>
  <c r="C92" i="2"/>
  <c r="J91" i="2"/>
  <c r="I91" i="2"/>
  <c r="G91" i="2"/>
  <c r="C91" i="2"/>
  <c r="J90" i="2"/>
  <c r="I90" i="2"/>
  <c r="G90" i="2"/>
  <c r="C90" i="2"/>
  <c r="J89" i="2"/>
  <c r="I89" i="2"/>
  <c r="G89" i="2"/>
  <c r="C89" i="2"/>
  <c r="J88" i="2"/>
  <c r="I88" i="2"/>
  <c r="G88" i="2"/>
  <c r="C88" i="2"/>
  <c r="J87" i="2"/>
  <c r="I87" i="2"/>
  <c r="G87" i="2"/>
  <c r="C87" i="2"/>
  <c r="J86" i="2"/>
  <c r="I86" i="2"/>
  <c r="G86" i="2"/>
  <c r="C86" i="2"/>
  <c r="J85" i="2"/>
  <c r="I85" i="2"/>
  <c r="G85" i="2"/>
  <c r="C85" i="2"/>
  <c r="J84" i="2"/>
  <c r="I84" i="2"/>
  <c r="G84" i="2"/>
  <c r="C8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D48" i="2"/>
  <c r="F48" i="2"/>
  <c r="E48" i="2"/>
  <c r="F47" i="2"/>
  <c r="C47" i="2"/>
  <c r="F46" i="2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L24" i="2"/>
  <c r="K24" i="2"/>
  <c r="J24" i="2"/>
  <c r="B235" i="1"/>
  <c r="H215" i="1"/>
  <c r="G215" i="1"/>
  <c r="F215" i="1"/>
  <c r="E215" i="1"/>
  <c r="D215" i="1"/>
  <c r="C215" i="1"/>
  <c r="B215" i="1"/>
  <c r="G199" i="1"/>
  <c r="K199" i="1"/>
  <c r="G200" i="1"/>
  <c r="K200" i="1"/>
  <c r="G201" i="1"/>
  <c r="K201" i="1"/>
  <c r="G202" i="1"/>
  <c r="K202" i="1"/>
  <c r="G203" i="1"/>
  <c r="K203" i="1"/>
  <c r="K204" i="1"/>
  <c r="J199" i="1"/>
  <c r="J200" i="1"/>
  <c r="J201" i="1"/>
  <c r="J202" i="1"/>
  <c r="J203" i="1"/>
  <c r="J204" i="1"/>
  <c r="I199" i="1"/>
  <c r="I200" i="1"/>
  <c r="I201" i="1"/>
  <c r="I202" i="1"/>
  <c r="I203" i="1"/>
  <c r="I204" i="1"/>
  <c r="H199" i="1"/>
  <c r="H200" i="1"/>
  <c r="H201" i="1"/>
  <c r="H202" i="1"/>
  <c r="H203" i="1"/>
  <c r="H204" i="1"/>
  <c r="G204" i="1"/>
  <c r="F204" i="1"/>
  <c r="E204" i="1"/>
  <c r="D204" i="1"/>
  <c r="C204" i="1"/>
  <c r="B204" i="1"/>
  <c r="C193" i="1"/>
  <c r="B193" i="1"/>
  <c r="C169" i="1"/>
  <c r="B169" i="1"/>
  <c r="K140" i="1"/>
  <c r="K141" i="1"/>
  <c r="K142" i="1"/>
  <c r="K143" i="1"/>
  <c r="K144" i="1"/>
  <c r="K145" i="1"/>
  <c r="K146" i="1"/>
  <c r="J146" i="1"/>
  <c r="I146" i="1"/>
  <c r="H146" i="1"/>
  <c r="G146" i="1"/>
  <c r="F146" i="1"/>
  <c r="E146" i="1"/>
  <c r="D146" i="1"/>
  <c r="B146" i="1"/>
  <c r="C146" i="1"/>
  <c r="C145" i="1"/>
  <c r="C144" i="1"/>
  <c r="C143" i="1"/>
  <c r="C142" i="1"/>
  <c r="C141" i="1"/>
  <c r="C140" i="1"/>
  <c r="K134" i="1"/>
  <c r="J134" i="1"/>
  <c r="H134" i="1"/>
  <c r="G134" i="1"/>
  <c r="E134" i="1"/>
  <c r="E128" i="1"/>
  <c r="D121" i="1"/>
  <c r="K128" i="1"/>
  <c r="D128" i="1"/>
  <c r="C121" i="1"/>
  <c r="J128" i="1"/>
  <c r="C128" i="1"/>
  <c r="B121" i="1"/>
  <c r="I128" i="1"/>
  <c r="B128" i="1"/>
  <c r="H128" i="1"/>
  <c r="G128" i="1"/>
  <c r="K124" i="1"/>
  <c r="J124" i="1"/>
  <c r="I124" i="1"/>
  <c r="H124" i="1"/>
  <c r="G124" i="1"/>
  <c r="K117" i="1"/>
  <c r="K118" i="1"/>
  <c r="K119" i="1"/>
  <c r="K120" i="1"/>
  <c r="K121" i="1"/>
  <c r="J121" i="1"/>
  <c r="F121" i="1"/>
  <c r="I121" i="1"/>
  <c r="H121" i="1"/>
  <c r="G121" i="1"/>
  <c r="E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H90" i="1"/>
  <c r="H91" i="1"/>
  <c r="H92" i="1"/>
  <c r="H93" i="1"/>
  <c r="H94" i="1"/>
  <c r="H95" i="1"/>
  <c r="H96" i="1"/>
  <c r="E90" i="1"/>
  <c r="E91" i="1"/>
  <c r="E92" i="1"/>
  <c r="E93" i="1"/>
  <c r="E94" i="1"/>
  <c r="E95" i="1"/>
  <c r="E96" i="1"/>
  <c r="I95" i="1"/>
  <c r="I94" i="1"/>
  <c r="I93" i="1"/>
  <c r="I92" i="1"/>
  <c r="I91" i="1"/>
  <c r="I90" i="1"/>
  <c r="G61" i="1"/>
  <c r="G62" i="1"/>
  <c r="G63" i="1"/>
  <c r="G64" i="1"/>
  <c r="G65" i="1"/>
  <c r="G66" i="1"/>
  <c r="G67" i="1"/>
  <c r="G68" i="1"/>
  <c r="G69" i="1"/>
  <c r="D69" i="1"/>
  <c r="F69" i="1"/>
  <c r="E69" i="1"/>
  <c r="F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F61" i="1"/>
  <c r="C61" i="1"/>
  <c r="L60" i="1"/>
  <c r="K60" i="1"/>
  <c r="J60" i="1"/>
  <c r="K41" i="1"/>
  <c r="J41" i="1"/>
  <c r="H41" i="1"/>
  <c r="G41" i="1"/>
  <c r="E41" i="1"/>
  <c r="C41" i="1"/>
  <c r="K40" i="1"/>
  <c r="J40" i="1"/>
  <c r="H40" i="1"/>
  <c r="G40" i="1"/>
  <c r="E40" i="1"/>
  <c r="C40" i="1"/>
  <c r="K39" i="1"/>
  <c r="J39" i="1"/>
  <c r="H39" i="1"/>
  <c r="G39" i="1"/>
  <c r="E39" i="1"/>
  <c r="C39" i="1"/>
  <c r="K38" i="1"/>
  <c r="J38" i="1"/>
  <c r="H38" i="1"/>
  <c r="G38" i="1"/>
  <c r="E38" i="1"/>
  <c r="C38" i="1"/>
  <c r="K37" i="1"/>
  <c r="J37" i="1"/>
  <c r="H37" i="1"/>
  <c r="G37" i="1"/>
  <c r="E37" i="1"/>
  <c r="C37" i="1"/>
  <c r="K36" i="1"/>
  <c r="J36" i="1"/>
  <c r="H36" i="1"/>
  <c r="G36" i="1"/>
  <c r="E36" i="1"/>
  <c r="C36" i="1"/>
  <c r="K35" i="1"/>
  <c r="J35" i="1"/>
  <c r="H35" i="1"/>
  <c r="G35" i="1"/>
  <c r="E35" i="1"/>
  <c r="C35" i="1"/>
  <c r="K34" i="1"/>
  <c r="J34" i="1"/>
  <c r="H34" i="1"/>
  <c r="G34" i="1"/>
  <c r="E34" i="1"/>
  <c r="C34" i="1"/>
  <c r="K33" i="1"/>
  <c r="H33" i="1"/>
  <c r="G33" i="1"/>
  <c r="E33" i="1"/>
  <c r="C33" i="1"/>
  <c r="K32" i="1"/>
  <c r="J32" i="1"/>
  <c r="H32" i="1"/>
  <c r="G32" i="1"/>
  <c r="E32" i="1"/>
  <c r="C32" i="1"/>
  <c r="K31" i="1"/>
  <c r="J31" i="1"/>
  <c r="H31" i="1"/>
  <c r="G31" i="1"/>
  <c r="E31" i="1"/>
  <c r="C31" i="1"/>
  <c r="K30" i="1"/>
  <c r="J30" i="1"/>
  <c r="H30" i="1"/>
  <c r="G30" i="1"/>
  <c r="E30" i="1"/>
  <c r="C30" i="1"/>
  <c r="K29" i="1"/>
  <c r="H29" i="1"/>
  <c r="G29" i="1"/>
  <c r="E29" i="1"/>
  <c r="C29" i="1"/>
  <c r="K28" i="1"/>
  <c r="J28" i="1"/>
  <c r="H28" i="1"/>
  <c r="G28" i="1"/>
  <c r="E28" i="1"/>
  <c r="C28" i="1"/>
  <c r="K27" i="1"/>
  <c r="J27" i="1"/>
  <c r="H27" i="1"/>
  <c r="G27" i="1"/>
  <c r="E27" i="1"/>
  <c r="C27" i="1"/>
  <c r="K26" i="1"/>
  <c r="J26" i="1"/>
  <c r="H26" i="1"/>
  <c r="G26" i="1"/>
  <c r="E26" i="1"/>
  <c r="C26" i="1"/>
  <c r="K25" i="1"/>
  <c r="J25" i="1"/>
  <c r="H25" i="1"/>
  <c r="G25" i="1"/>
  <c r="E25" i="1"/>
  <c r="C25" i="1"/>
  <c r="K24" i="1"/>
  <c r="J24" i="1"/>
  <c r="H24" i="1"/>
  <c r="G24" i="1"/>
  <c r="E24" i="1"/>
  <c r="C24" i="1"/>
  <c r="K23" i="1"/>
  <c r="H23" i="1"/>
  <c r="G23" i="1"/>
  <c r="E23" i="1"/>
  <c r="C23" i="1"/>
  <c r="K22" i="1"/>
  <c r="H22" i="1"/>
  <c r="G22" i="1"/>
  <c r="E22" i="1"/>
  <c r="C22" i="1"/>
  <c r="K21" i="1"/>
  <c r="H21" i="1"/>
  <c r="G21" i="1"/>
  <c r="E21" i="1"/>
  <c r="C21" i="1"/>
  <c r="K20" i="1"/>
  <c r="H20" i="1"/>
  <c r="G20" i="1"/>
  <c r="E20" i="1"/>
  <c r="C20" i="1"/>
  <c r="K19" i="1"/>
  <c r="H19" i="1"/>
  <c r="G19" i="1"/>
  <c r="E19" i="1"/>
  <c r="C19" i="1"/>
  <c r="K18" i="1"/>
  <c r="H18" i="1"/>
  <c r="G18" i="1"/>
  <c r="E18" i="1"/>
  <c r="C18" i="1"/>
  <c r="K17" i="1"/>
  <c r="H17" i="1"/>
  <c r="G17" i="1"/>
  <c r="E17" i="1"/>
  <c r="C17" i="1"/>
  <c r="K16" i="1"/>
  <c r="H16" i="1"/>
  <c r="G16" i="1"/>
  <c r="E16" i="1"/>
  <c r="C16" i="1"/>
  <c r="C134" i="1"/>
</calcChain>
</file>

<file path=xl/sharedStrings.xml><?xml version="1.0" encoding="utf-8"?>
<sst xmlns="http://schemas.openxmlformats.org/spreadsheetml/2006/main" count="1236" uniqueCount="298">
  <si>
    <t>Timing: 1.5.2017 - 31.8.2017</t>
  </si>
  <si>
    <t>date: 1.11.2017</t>
  </si>
  <si>
    <t>Author: Jan Suda jan.suda@h20.cz</t>
  </si>
  <si>
    <t>exch. rate:</t>
  </si>
  <si>
    <t>Campaign Development</t>
  </si>
  <si>
    <t>Date</t>
  </si>
  <si>
    <t>Reach</t>
  </si>
  <si>
    <t>Frequency</t>
  </si>
  <si>
    <t>Impressions</t>
  </si>
  <si>
    <t>CPM</t>
  </si>
  <si>
    <t>Clicks</t>
  </si>
  <si>
    <t>CPC</t>
  </si>
  <si>
    <t>CTR</t>
  </si>
  <si>
    <t>3 sec video view</t>
  </si>
  <si>
    <t>CPT3sVView</t>
  </si>
  <si>
    <t>Cost</t>
  </si>
  <si>
    <t>1.5.2017</t>
  </si>
  <si>
    <t>1.8.2017</t>
  </si>
  <si>
    <t>2.8.2017</t>
  </si>
  <si>
    <t>3.8.2017</t>
  </si>
  <si>
    <t>4.8.2017</t>
  </si>
  <si>
    <t>5.8.2017</t>
  </si>
  <si>
    <t>6.8.2017</t>
  </si>
  <si>
    <t>7.8.2017</t>
  </si>
  <si>
    <t>8.8.2017</t>
  </si>
  <si>
    <t>14.8.2017</t>
  </si>
  <si>
    <t>15.8.2017</t>
  </si>
  <si>
    <t>16.8.2017</t>
  </si>
  <si>
    <t>17.8.2017</t>
  </si>
  <si>
    <t>18.8.2017</t>
  </si>
  <si>
    <t>19.8.2017</t>
  </si>
  <si>
    <t>20.8.2017</t>
  </si>
  <si>
    <t>21.8.2017</t>
  </si>
  <si>
    <t>22.8.2017</t>
  </si>
  <si>
    <t>23.8.2017</t>
  </si>
  <si>
    <t>24.8.2017</t>
  </si>
  <si>
    <t>25.8.2017</t>
  </si>
  <si>
    <t>26.8.2017</t>
  </si>
  <si>
    <t>27.8.2017</t>
  </si>
  <si>
    <t>28.8.2017</t>
  </si>
  <si>
    <t>29.8.2017</t>
  </si>
  <si>
    <t>30.8.2017</t>
  </si>
  <si>
    <t>31.8.2017</t>
  </si>
  <si>
    <t>Branding</t>
  </si>
  <si>
    <t>AdSet Name</t>
  </si>
  <si>
    <t>Unique Impressions</t>
  </si>
  <si>
    <t>AVG CPM</t>
  </si>
  <si>
    <t>AVG Post/AdSet reach</t>
  </si>
  <si>
    <t>AVG AdSet Freq.</t>
  </si>
  <si>
    <t>TOTAL</t>
  </si>
  <si>
    <t>Performance</t>
  </si>
  <si>
    <t>Conversions (Actions)</t>
  </si>
  <si>
    <t>CPA</t>
  </si>
  <si>
    <t>Unique Actions</t>
  </si>
  <si>
    <t>Total Actions Value</t>
  </si>
  <si>
    <t>Click per Unique</t>
  </si>
  <si>
    <t>Video</t>
  </si>
  <si>
    <t>watched: 10 sec</t>
  </si>
  <si>
    <t>15 sec</t>
  </si>
  <si>
    <t>30 sec</t>
  </si>
  <si>
    <t>Complete Watched</t>
  </si>
  <si>
    <t>Cost Per Video View (3s)</t>
  </si>
  <si>
    <t>Cost Per 10 sec video view</t>
  </si>
  <si>
    <t>CP Complete Watched</t>
  </si>
  <si>
    <t>AVG watched time</t>
  </si>
  <si>
    <t>25% watched</t>
  </si>
  <si>
    <t>50% watched</t>
  </si>
  <si>
    <t>75% watched</t>
  </si>
  <si>
    <t>100% watched</t>
  </si>
  <si>
    <t>AVG % watched</t>
  </si>
  <si>
    <t>3 sec -&gt; 100%</t>
  </si>
  <si>
    <t>3 sec -&gt; 25%</t>
  </si>
  <si>
    <t>25% -&gt; 50%</t>
  </si>
  <si>
    <t>50% -&gt; 75%</t>
  </si>
  <si>
    <t>75% -&gt; 100%</t>
  </si>
  <si>
    <t>Optimisation Benchmarks</t>
  </si>
  <si>
    <t>Objective</t>
  </si>
  <si>
    <t>CONVERSIONS</t>
  </si>
  <si>
    <t>Engagement</t>
  </si>
  <si>
    <t>Adset Name</t>
  </si>
  <si>
    <t>Inline Post Engagement</t>
  </si>
  <si>
    <t>Cost Per Inline Engagement</t>
  </si>
  <si>
    <t>Post Engagement</t>
  </si>
  <si>
    <t>Post Reactions</t>
  </si>
  <si>
    <t>Comments</t>
  </si>
  <si>
    <t>Post Story</t>
  </si>
  <si>
    <t>Page Engagement</t>
  </si>
  <si>
    <t>Page Likes</t>
  </si>
  <si>
    <t>Page Story</t>
  </si>
  <si>
    <t>Relevance</t>
  </si>
  <si>
    <t>Relevance Score</t>
  </si>
  <si>
    <t>Positive Feedback</t>
  </si>
  <si>
    <t>Negative Feedback</t>
  </si>
  <si>
    <t>Canvas</t>
  </si>
  <si>
    <t>Canvas AVG View %</t>
  </si>
  <si>
    <t>Canvas AVG View Time</t>
  </si>
  <si>
    <t>Application</t>
  </si>
  <si>
    <t>Ad Recall</t>
  </si>
  <si>
    <t>Ad Recall Rate (estim.)</t>
  </si>
  <si>
    <t>Ad Recallers (estim.)</t>
  </si>
  <si>
    <t>Social vs. Total</t>
  </si>
  <si>
    <t>Social Impressions</t>
  </si>
  <si>
    <t>Unique Social Impressions</t>
  </si>
  <si>
    <t>Social Clicks</t>
  </si>
  <si>
    <t>Unique Social Clicks</t>
  </si>
  <si>
    <t>Social Reach</t>
  </si>
  <si>
    <t>Social Spend</t>
  </si>
  <si>
    <t>Impressions Social vs. Total</t>
  </si>
  <si>
    <t>Clicks Social vs. Total</t>
  </si>
  <si>
    <t>Reach Social vs. Total</t>
  </si>
  <si>
    <t>Spend Social vs. Total</t>
  </si>
  <si>
    <t>Unique Clicks</t>
  </si>
  <si>
    <t>Inline Link Clicks</t>
  </si>
  <si>
    <t>Unique Inline Link Clicks</t>
  </si>
  <si>
    <t>Action Link Clicks</t>
  </si>
  <si>
    <t>CTA Clicks</t>
  </si>
  <si>
    <t>Actions Total</t>
  </si>
  <si>
    <t>Unique Action Type</t>
  </si>
  <si>
    <t>Value Total (cummulative)</t>
  </si>
  <si>
    <t>comment</t>
  </si>
  <si>
    <t>commerce_event</t>
  </si>
  <si>
    <t>landing_page_view</t>
  </si>
  <si>
    <t>like</t>
  </si>
  <si>
    <t>link_click</t>
  </si>
  <si>
    <t>offsite_conversion</t>
  </si>
  <si>
    <t>offsite_conversion.fb_pixel_add_to_cart</t>
  </si>
  <si>
    <t>offsite_conversion.fb_pixel_purchase</t>
  </si>
  <si>
    <t>page_engagement</t>
  </si>
  <si>
    <t>photo_view</t>
  </si>
  <si>
    <t>post</t>
  </si>
  <si>
    <t>post_engagement</t>
  </si>
  <si>
    <t>post_reaction</t>
  </si>
  <si>
    <t>video_view</t>
  </si>
  <si>
    <t>generated with love and H3.0</t>
  </si>
  <si>
    <t>Reach is usually cummulative for more campaigns together.</t>
  </si>
  <si>
    <t>Branding per Ad</t>
  </si>
  <si>
    <t>Ad Name</t>
  </si>
  <si>
    <t>Performance per Ad</t>
  </si>
  <si>
    <t>Video per Ad</t>
  </si>
  <si>
    <t>Demographics summary</t>
  </si>
  <si>
    <t>Age</t>
  </si>
  <si>
    <t>Gender</t>
  </si>
  <si>
    <t>18-24</t>
  </si>
  <si>
    <t>female</t>
  </si>
  <si>
    <t>25-34</t>
  </si>
  <si>
    <t>35-44</t>
  </si>
  <si>
    <t>45-54</t>
  </si>
  <si>
    <t>55-64</t>
  </si>
  <si>
    <t>65+</t>
  </si>
  <si>
    <t>male</t>
  </si>
  <si>
    <t>unknown</t>
  </si>
  <si>
    <t>Impressions Total</t>
  </si>
  <si>
    <t>Age Share (Imps.)</t>
  </si>
  <si>
    <t>Gender Share (Imps.)</t>
  </si>
  <si>
    <t>Branding Demography</t>
  </si>
  <si>
    <t>Performance Demography</t>
  </si>
  <si>
    <t>Video Demography</t>
  </si>
  <si>
    <t>Engagement Demography</t>
  </si>
  <si>
    <t>Relevance (Demography)</t>
  </si>
  <si>
    <t>Canvas Demography</t>
  </si>
  <si>
    <t>Application Demography</t>
  </si>
  <si>
    <t>Ad Recall Demography</t>
  </si>
  <si>
    <t>Social vs. Total (Demography)</t>
  </si>
  <si>
    <t>Clicks Demography</t>
  </si>
  <si>
    <t>Ads</t>
  </si>
  <si>
    <t>Name</t>
  </si>
  <si>
    <t>account_currency</t>
  </si>
  <si>
    <t>account_id</t>
  </si>
  <si>
    <t>account_name</t>
  </si>
  <si>
    <t>action_values</t>
  </si>
  <si>
    <t>actions</t>
  </si>
  <si>
    <t>ad_id</t>
  </si>
  <si>
    <t>ad_name</t>
  </si>
  <si>
    <t>adset_id</t>
  </si>
  <si>
    <t>adset_name</t>
  </si>
  <si>
    <t>age</t>
  </si>
  <si>
    <t>buying_type</t>
  </si>
  <si>
    <t>call_to_action_clicks</t>
  </si>
  <si>
    <t>campaign_id</t>
  </si>
  <si>
    <t>campaign_name</t>
  </si>
  <si>
    <t>canvas_avg_view_percent</t>
  </si>
  <si>
    <t>canvas_avg_view_time</t>
  </si>
  <si>
    <t>canvas_component_avg_pct_view</t>
  </si>
  <si>
    <t>clicks</t>
  </si>
  <si>
    <t>cost_per_10_sec_video_view</t>
  </si>
  <si>
    <t>cost_per_action_type</t>
  </si>
  <si>
    <t>cost_per_estimated_ad_recallers</t>
  </si>
  <si>
    <t>cost_per_inline_link_click</t>
  </si>
  <si>
    <t>cost_per_inline_post_engagement</t>
  </si>
  <si>
    <t>cost_per_outbound_click</t>
  </si>
  <si>
    <t>cost_per_total_action</t>
  </si>
  <si>
    <t>cost_per_unique_action_type</t>
  </si>
  <si>
    <t>cost_per_unique_click</t>
  </si>
  <si>
    <t>cost_per_unique_inline_link_click</t>
  </si>
  <si>
    <t>cost_per_unique_outbound_click</t>
  </si>
  <si>
    <t>cpc</t>
  </si>
  <si>
    <t>cpm</t>
  </si>
  <si>
    <t>cpp</t>
  </si>
  <si>
    <t>ctr</t>
  </si>
  <si>
    <t>date_start</t>
  </si>
  <si>
    <t>date_stop</t>
  </si>
  <si>
    <t>estimated_ad_recall_rate</t>
  </si>
  <si>
    <t>estimated_ad_recallers</t>
  </si>
  <si>
    <t>frequency</t>
  </si>
  <si>
    <t>gender</t>
  </si>
  <si>
    <t>impressions</t>
  </si>
  <si>
    <t>inline_link_click_ctr</t>
  </si>
  <si>
    <t>inline_link_clicks</t>
  </si>
  <si>
    <t>inline_post_engagement</t>
  </si>
  <si>
    <t>mobile_app_purchase_roas</t>
  </si>
  <si>
    <t>objective</t>
  </si>
  <si>
    <t>outbound_clicks</t>
  </si>
  <si>
    <t>outbound_clicks_ctr</t>
  </si>
  <si>
    <t>place_page_name</t>
  </si>
  <si>
    <t>reach</t>
  </si>
  <si>
    <t>relevance_score</t>
  </si>
  <si>
    <t>social_clicks</t>
  </si>
  <si>
    <t>social_impressions</t>
  </si>
  <si>
    <t>social_reach</t>
  </si>
  <si>
    <t>social_spend</t>
  </si>
  <si>
    <t>spend</t>
  </si>
  <si>
    <t>total_action_value</t>
  </si>
  <si>
    <t>total_actions</t>
  </si>
  <si>
    <t>total_unique_actions</t>
  </si>
  <si>
    <t>unique_actions</t>
  </si>
  <si>
    <t>unique_clicks</t>
  </si>
  <si>
    <t>unique_ctr</t>
  </si>
  <si>
    <t>unique_inline_link_click_ctr</t>
  </si>
  <si>
    <t>unique_inline_link_clicks</t>
  </si>
  <si>
    <t>unique_link_clicks_ctr</t>
  </si>
  <si>
    <t>unique_outbound_clicks</t>
  </si>
  <si>
    <t>unique_outbound_clicks_ctr</t>
  </si>
  <si>
    <t>unique_social_clicks</t>
  </si>
  <si>
    <t>video_10_sec_watched_actions</t>
  </si>
  <si>
    <t>video_15_sec_watched_actions</t>
  </si>
  <si>
    <t>video_30_sec_watched_actions</t>
  </si>
  <si>
    <t>video_avg_percent_watched_actions</t>
  </si>
  <si>
    <t>video_avg_time_watched_actions</t>
  </si>
  <si>
    <t>video_p100_watched_actions</t>
  </si>
  <si>
    <t>video_p25_watched_actions</t>
  </si>
  <si>
    <t>video_p50_watched_actions</t>
  </si>
  <si>
    <t>video_p75_watched_actions</t>
  </si>
  <si>
    <t>video_p95_watched_actions</t>
  </si>
  <si>
    <t>website_ctr</t>
  </si>
  <si>
    <t>website_purchase_roas</t>
  </si>
  <si>
    <t>2017-05-01</t>
  </si>
  <si>
    <t>2017-08-31</t>
  </si>
  <si>
    <t>[{"action_type":"video_view","value":0.128049}]</t>
  </si>
  <si>
    <t>[{"action_type":"link_click","value":1},{"action_type":"page_engagement","value":131},{"action_type":"post_engagement","value":131},{"action_type":"video_view","value":131}]</t>
  </si>
  <si>
    <t>[{"action_type":"video_view","value":41}]</t>
  </si>
  <si>
    <t>[{"action_type":"video_view","value":33}]</t>
  </si>
  <si>
    <t>[{"action_type":"video_view","value":26.11}]</t>
  </si>
  <si>
    <t>[{"action_type":"video_view","value":3}]</t>
  </si>
  <si>
    <t>[{"action_type":"video_view","value":28}]</t>
  </si>
  <si>
    <t>[{"action_type":"video_view","value":143}]</t>
  </si>
  <si>
    <t>[{"action_type":"video_view","value":76}]</t>
  </si>
  <si>
    <t>[{"action_type":"video_view","value":43}]</t>
  </si>
  <si>
    <t>[{"action_type":"video_view","value":31}]</t>
  </si>
  <si>
    <t>[{"action_type":"landing_page_view","value":12},{"action_type":"like","value":2},{"action_type":"link_click","value":17},{"action_type":"offsite_conversion","value":4},{"action_type":"offsite_conversion.fb_pixel_add_to_cart","value":4},{"action_type":"offsite_conversion.fb_pixel_purchase","value":1},{"action_type":"page_engagement","value":19},{"action_type":"post_engagement","value":17}]</t>
  </si>
  <si>
    <t>[{"action_type":"video_view","value":0.146483}]</t>
  </si>
  <si>
    <t>[{"action_type":"comment","value":1},{"action_type":"landing_page_view","value":2},{"action_type":"link_click","value":3},{"action_type":"page_engagement","value":412},{"action_type":"post","value":1},{"action_type":"post_engagement","value":412},{"action_type":"post_reaction","value":1},{"action_type":"video_view","value":412}]</t>
  </si>
  <si>
    <t>[{"action_type":"video_view","value":145}]</t>
  </si>
  <si>
    <t>[{"action_type":"video_view","value":92}]</t>
  </si>
  <si>
    <t>[{"action_type":"video_view","value":53}]</t>
  </si>
  <si>
    <t>[{"action_type":"video_view","value":19.75}]</t>
  </si>
  <si>
    <t>[{"action_type":"video_view","value":4}]</t>
  </si>
  <si>
    <t>[{"action_type":"video_view","value":52}]</t>
  </si>
  <si>
    <t>[{"action_type":"video_view","value":290}]</t>
  </si>
  <si>
    <t>[{"action_type":"video_view","value":130}]</t>
  </si>
  <si>
    <t>[{"action_type":"video_view","value":81}]</t>
  </si>
  <si>
    <t>[{"action_type":"landing_page_view","value":1},{"action_type":"link_click","value":1},{"action_type":"page_engagement","value":1},{"action_type":"post_engagement","value":1}]</t>
  </si>
  <si>
    <t>[{"action_type":"video_view","value":0.247222}]</t>
  </si>
  <si>
    <t>[{"action_type":"page_engagement","value":55},{"action_type":"post_engagement","value":55},{"action_type":"video_view","value":55}]</t>
  </si>
  <si>
    <t>[{"action_type":"video_view","value":18}]</t>
  </si>
  <si>
    <t>[{"action_type":"video_view","value":13}]</t>
  </si>
  <si>
    <t>[{"action_type":"video_view","value":21.76}]</t>
  </si>
  <si>
    <t>[{"action_type":"video_view","value":2}]</t>
  </si>
  <si>
    <t>[{"action_type":"video_view","value":11}]</t>
  </si>
  <si>
    <t>[{"action_type":"video_view","value":50}]</t>
  </si>
  <si>
    <t>[{"action_type":"video_view","value":26}]</t>
  </si>
  <si>
    <t>[{"action_type":"video_view","value":16}]</t>
  </si>
  <si>
    <t>[{"action_type":"video_view","value":12}]</t>
  </si>
  <si>
    <t>[{"action_type":"landing_page_view","value":2},{"action_type":"link_click","value":5},{"action_type":"page_engagement","value":8},{"action_type":"post_engagement","value":8},{"action_type":"post_reaction","value":3}]</t>
  </si>
  <si>
    <t>[{"action_type":"comment","value":1},{"action_type":"landing_page_view","value":1},{"action_type":"link_click","value":1},{"action_type":"page_engagement","value":3},{"action_type":"post_engagement","value":3},{"action_type":"post_reaction","value":1}]</t>
  </si>
  <si>
    <t>[{"action_type":"landing_page_view","value":1},{"action_type":"link_click","value":3},{"action_type":"page_engagement","value":3},{"action_type":"post_engagement","value":3}]</t>
  </si>
  <si>
    <t>[{"action_type":"landing_page_view","value":7},{"action_type":"link_click","value":10},{"action_type":"page_engagement","value":10},{"action_type":"post_engagement","value":10}]</t>
  </si>
  <si>
    <t>[{"action_type":"page_engagement","value":1},{"action_type":"post_engagement","value":1},{"action_type":"post_reaction","value":1}]</t>
  </si>
  <si>
    <t>Facebook Ads Report: example</t>
  </si>
  <si>
    <t>Facebook per Ad Report: example</t>
  </si>
  <si>
    <t>Facebook Ads Demographics Report: example</t>
  </si>
  <si>
    <t>Facebook Ads RAW Data: example</t>
  </si>
  <si>
    <t>Campaigns: example</t>
  </si>
  <si>
    <t>AdSet example</t>
  </si>
  <si>
    <t>Ad example</t>
  </si>
  <si>
    <t>this is just sample data</t>
  </si>
  <si>
    <t>ad name</t>
  </si>
  <si>
    <t>adset name</t>
  </si>
  <si>
    <t>campaign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</si>
</sst>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Kč]"/>
    <numFmt numFmtId="165" formatCode="#,##0.00%"/>
    <numFmt numFmtId="166" formatCode="#,##0.0"/>
  </numFmts>
  <fonts count="8" x14ac:knownFonts="1">
    <font>
      <sz val="12"/>
      <color rgb="FF000000"/>
      <name val="Calibri"/>
    </font>
    <font>
      <b/>
      <sz val="36"/>
      <color rgb="FF000000"/>
      <name val="Calibri"/>
    </font>
    <font>
      <sz val="36"/>
      <color rgb="FFFFFFFF"/>
      <name val="Calibri"/>
    </font>
    <font>
      <sz val="36"/>
      <color rgb="FF000000"/>
      <name val="Calibri"/>
    </font>
    <font>
      <sz val="14"/>
      <color rgb="FF000000"/>
      <name val="Calibri"/>
    </font>
    <font>
      <sz val="26"/>
      <color rgb="FF000000"/>
      <name val="Calibri"/>
    </font>
    <font>
      <u/>
      <sz val="12"/>
      <color theme="10"/>
      <name val="Calibri"/>
    </font>
    <font>
      <u/>
      <sz val="12"/>
      <color theme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'Facebook Ads Report'!$F$15</c:f>
              <c:strCache>
                <c:ptCount val="1"/>
                <c:pt idx="0">
                  <c:v>Clicks</c:v>
                </c:pt>
              </c:strCache>
            </c:strRef>
          </c:tx>
          <c:spPr>
            <a:ln w="40000"/>
          </c:spPr>
          <c:marker>
            <c:symbol val="none"/>
          </c:marker>
          <c:cat>
            <c:strRef>
              <c:f>'Facebook Ads Report'!$A$16:$A$41</c:f>
              <c:strCache>
                <c:ptCount val="26"/>
                <c:pt idx="0">
                  <c:v>1.8.2017</c:v>
                </c:pt>
                <c:pt idx="1">
                  <c:v>2.8.2017</c:v>
                </c:pt>
                <c:pt idx="2">
                  <c:v>3.8.2017</c:v>
                </c:pt>
                <c:pt idx="3">
                  <c:v>4.8.2017</c:v>
                </c:pt>
                <c:pt idx="4">
                  <c:v>5.8.2017</c:v>
                </c:pt>
                <c:pt idx="5">
                  <c:v>6.8.2017</c:v>
                </c:pt>
                <c:pt idx="6">
                  <c:v>7.8.2017</c:v>
                </c:pt>
                <c:pt idx="7">
                  <c:v>8.8.2017</c:v>
                </c:pt>
                <c:pt idx="8">
                  <c:v>14.8.2017</c:v>
                </c:pt>
                <c:pt idx="9">
                  <c:v>15.8.2017</c:v>
                </c:pt>
                <c:pt idx="10">
                  <c:v>16.8.2017</c:v>
                </c:pt>
                <c:pt idx="11">
                  <c:v>17.8.2017</c:v>
                </c:pt>
                <c:pt idx="12">
                  <c:v>18.8.2017</c:v>
                </c:pt>
                <c:pt idx="13">
                  <c:v>19.8.2017</c:v>
                </c:pt>
                <c:pt idx="14">
                  <c:v>20.8.2017</c:v>
                </c:pt>
                <c:pt idx="15">
                  <c:v>21.8.2017</c:v>
                </c:pt>
                <c:pt idx="16">
                  <c:v>22.8.2017</c:v>
                </c:pt>
                <c:pt idx="17">
                  <c:v>23.8.2017</c:v>
                </c:pt>
                <c:pt idx="18">
                  <c:v>24.8.2017</c:v>
                </c:pt>
                <c:pt idx="19">
                  <c:v>25.8.2017</c:v>
                </c:pt>
                <c:pt idx="20">
                  <c:v>26.8.2017</c:v>
                </c:pt>
                <c:pt idx="21">
                  <c:v>27.8.2017</c:v>
                </c:pt>
                <c:pt idx="22">
                  <c:v>28.8.2017</c:v>
                </c:pt>
                <c:pt idx="23">
                  <c:v>29.8.2017</c:v>
                </c:pt>
                <c:pt idx="24">
                  <c:v>30.8.2017</c:v>
                </c:pt>
                <c:pt idx="25">
                  <c:v>31.8.2017</c:v>
                </c:pt>
              </c:strCache>
            </c:strRef>
          </c:cat>
          <c:val>
            <c:numRef>
              <c:f>'Facebook Ads Report'!$F$16:$F$41</c:f>
              <c:numCache>
                <c:formatCode>#,##0</c:formatCode>
                <c:ptCount val="26"/>
                <c:pt idx="0">
                  <c:v>41.0</c:v>
                </c:pt>
                <c:pt idx="1">
                  <c:v>25.0</c:v>
                </c:pt>
                <c:pt idx="2">
                  <c:v>32.0</c:v>
                </c:pt>
                <c:pt idx="3">
                  <c:v>68.0</c:v>
                </c:pt>
                <c:pt idx="4">
                  <c:v>108.0</c:v>
                </c:pt>
                <c:pt idx="5">
                  <c:v>15.0</c:v>
                </c:pt>
                <c:pt idx="6">
                  <c:v>41.0</c:v>
                </c:pt>
                <c:pt idx="7">
                  <c:v>24.0</c:v>
                </c:pt>
                <c:pt idx="8">
                  <c:v>462.0</c:v>
                </c:pt>
                <c:pt idx="9">
                  <c:v>584.0</c:v>
                </c:pt>
                <c:pt idx="10">
                  <c:v>423.0</c:v>
                </c:pt>
                <c:pt idx="11">
                  <c:v>297.0</c:v>
                </c:pt>
                <c:pt idx="12">
                  <c:v>257.0</c:v>
                </c:pt>
                <c:pt idx="13">
                  <c:v>261.0</c:v>
                </c:pt>
                <c:pt idx="14">
                  <c:v>234.0</c:v>
                </c:pt>
                <c:pt idx="15">
                  <c:v>177.0</c:v>
                </c:pt>
                <c:pt idx="16">
                  <c:v>167.0</c:v>
                </c:pt>
                <c:pt idx="17">
                  <c:v>134.0</c:v>
                </c:pt>
                <c:pt idx="18">
                  <c:v>85.0</c:v>
                </c:pt>
                <c:pt idx="19">
                  <c:v>119.0</c:v>
                </c:pt>
                <c:pt idx="20">
                  <c:v>109.0</c:v>
                </c:pt>
                <c:pt idx="21">
                  <c:v>170.0</c:v>
                </c:pt>
                <c:pt idx="22">
                  <c:v>178.0</c:v>
                </c:pt>
                <c:pt idx="23">
                  <c:v>188.0</c:v>
                </c:pt>
                <c:pt idx="24">
                  <c:v>23.0</c:v>
                </c:pt>
                <c:pt idx="25">
                  <c:v>10.0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3901240"/>
        <c:axId val="-2052063192"/>
      </c:lineChart>
      <c:lineChart>
        <c:grouping val="standard"/>
        <c:varyColors val="0"/>
        <c:ser>
          <c:idx val="1"/>
          <c:order val="1"/>
          <c:tx>
            <c:strRef>
              <c:f>'Facebook Ads Report'!$D$15</c:f>
              <c:strCache>
                <c:ptCount val="1"/>
                <c:pt idx="0">
                  <c:v>Impressions</c:v>
                </c:pt>
              </c:strCache>
            </c:strRef>
          </c:tx>
          <c:spPr>
            <a:ln w="40000"/>
          </c:spPr>
          <c:marker>
            <c:symbol val="none"/>
          </c:marker>
          <c:cat>
            <c:strRef>
              <c:f>'Facebook Ads Report'!$A$16:$A$41</c:f>
              <c:strCache>
                <c:ptCount val="26"/>
                <c:pt idx="0">
                  <c:v>1.8.2017</c:v>
                </c:pt>
                <c:pt idx="1">
                  <c:v>2.8.2017</c:v>
                </c:pt>
                <c:pt idx="2">
                  <c:v>3.8.2017</c:v>
                </c:pt>
                <c:pt idx="3">
                  <c:v>4.8.2017</c:v>
                </c:pt>
                <c:pt idx="4">
                  <c:v>5.8.2017</c:v>
                </c:pt>
                <c:pt idx="5">
                  <c:v>6.8.2017</c:v>
                </c:pt>
                <c:pt idx="6">
                  <c:v>7.8.2017</c:v>
                </c:pt>
                <c:pt idx="7">
                  <c:v>8.8.2017</c:v>
                </c:pt>
                <c:pt idx="8">
                  <c:v>14.8.2017</c:v>
                </c:pt>
                <c:pt idx="9">
                  <c:v>15.8.2017</c:v>
                </c:pt>
                <c:pt idx="10">
                  <c:v>16.8.2017</c:v>
                </c:pt>
                <c:pt idx="11">
                  <c:v>17.8.2017</c:v>
                </c:pt>
                <c:pt idx="12">
                  <c:v>18.8.2017</c:v>
                </c:pt>
                <c:pt idx="13">
                  <c:v>19.8.2017</c:v>
                </c:pt>
                <c:pt idx="14">
                  <c:v>20.8.2017</c:v>
                </c:pt>
                <c:pt idx="15">
                  <c:v>21.8.2017</c:v>
                </c:pt>
                <c:pt idx="16">
                  <c:v>22.8.2017</c:v>
                </c:pt>
                <c:pt idx="17">
                  <c:v>23.8.2017</c:v>
                </c:pt>
                <c:pt idx="18">
                  <c:v>24.8.2017</c:v>
                </c:pt>
                <c:pt idx="19">
                  <c:v>25.8.2017</c:v>
                </c:pt>
                <c:pt idx="20">
                  <c:v>26.8.2017</c:v>
                </c:pt>
                <c:pt idx="21">
                  <c:v>27.8.2017</c:v>
                </c:pt>
                <c:pt idx="22">
                  <c:v>28.8.2017</c:v>
                </c:pt>
                <c:pt idx="23">
                  <c:v>29.8.2017</c:v>
                </c:pt>
                <c:pt idx="24">
                  <c:v>30.8.2017</c:v>
                </c:pt>
                <c:pt idx="25">
                  <c:v>31.8.2017</c:v>
                </c:pt>
              </c:strCache>
            </c:strRef>
          </c:cat>
          <c:val>
            <c:numRef>
              <c:f>'Facebook Ads Report'!$D$16:$D$41</c:f>
              <c:numCache>
                <c:formatCode>#,##0</c:formatCode>
                <c:ptCount val="26"/>
                <c:pt idx="0">
                  <c:v>9929.0</c:v>
                </c:pt>
                <c:pt idx="1">
                  <c:v>3893.0</c:v>
                </c:pt>
                <c:pt idx="2">
                  <c:v>4322.0</c:v>
                </c:pt>
                <c:pt idx="3">
                  <c:v>3397.0</c:v>
                </c:pt>
                <c:pt idx="4">
                  <c:v>1444.0</c:v>
                </c:pt>
                <c:pt idx="5">
                  <c:v>2668.0</c:v>
                </c:pt>
                <c:pt idx="6">
                  <c:v>6014.0</c:v>
                </c:pt>
                <c:pt idx="7">
                  <c:v>4331.0</c:v>
                </c:pt>
                <c:pt idx="8">
                  <c:v>6495.0</c:v>
                </c:pt>
                <c:pt idx="9">
                  <c:v>10576.0</c:v>
                </c:pt>
                <c:pt idx="10">
                  <c:v>7429.0</c:v>
                </c:pt>
                <c:pt idx="11">
                  <c:v>6217.0</c:v>
                </c:pt>
                <c:pt idx="12">
                  <c:v>5558.0</c:v>
                </c:pt>
                <c:pt idx="13">
                  <c:v>5457.0</c:v>
                </c:pt>
                <c:pt idx="14">
                  <c:v>4654.0</c:v>
                </c:pt>
                <c:pt idx="15">
                  <c:v>4743.0</c:v>
                </c:pt>
                <c:pt idx="16">
                  <c:v>4248.0</c:v>
                </c:pt>
                <c:pt idx="17">
                  <c:v>3702.0</c:v>
                </c:pt>
                <c:pt idx="18">
                  <c:v>3391.0</c:v>
                </c:pt>
                <c:pt idx="19">
                  <c:v>3316.0</c:v>
                </c:pt>
                <c:pt idx="20">
                  <c:v>3276.0</c:v>
                </c:pt>
                <c:pt idx="21">
                  <c:v>4295.0</c:v>
                </c:pt>
                <c:pt idx="22">
                  <c:v>4865.0</c:v>
                </c:pt>
                <c:pt idx="23">
                  <c:v>4397.0</c:v>
                </c:pt>
                <c:pt idx="24">
                  <c:v>3265.0</c:v>
                </c:pt>
                <c:pt idx="25">
                  <c:v>2300.0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3997560"/>
        <c:axId val="-2051198104"/>
      </c:lineChart>
      <c:catAx>
        <c:axId val="-205390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2063192"/>
        <c:crosses val="autoZero"/>
        <c:auto val="1"/>
        <c:lblAlgn val="ctr"/>
        <c:lblOffset val="100"/>
        <c:noMultiLvlLbl val="0"/>
      </c:catAx>
      <c:valAx>
        <c:axId val="-2052063192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rPr lang="en-US"/>
                  <a:t>Clicks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2063192"/>
        <c:crosses val="autoZero"/>
        <c:crossBetween val="midCat"/>
      </c:valAx>
      <c:catAx>
        <c:axId val="-2053997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051198104"/>
        <c:crosses val="autoZero"/>
        <c:auto val="1"/>
        <c:lblAlgn val="ctr"/>
        <c:lblOffset val="100"/>
        <c:noMultiLvlLbl val="0"/>
      </c:catAx>
      <c:valAx>
        <c:axId val="-20511981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r>
                  <a:rPr lang="en-US"/>
                  <a:t>Impressions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3997560"/>
        <c:crosses val="max"/>
        <c:crossBetween val="between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'per Ad'!$B$83</c:f>
              <c:strCache>
                <c:ptCount val="1"/>
                <c:pt idx="0">
                  <c:v>Conversions (Actions)</c:v>
                </c:pt>
              </c:strCache>
            </c:strRef>
          </c:tx>
          <c:invertIfNegative val="0"/>
          <c:cat>
            <c:strRef>
              <c:f>'per Ad'!$A$84:$A$111</c:f>
              <c:strCache>
                <c:ptCount val="28"/>
                <c:pt idx="0">
                  <c:v>Ad example</c:v>
                </c:pt>
                <c:pt idx="1">
                  <c:v>Ad example</c:v>
                </c:pt>
                <c:pt idx="2">
                  <c:v>Ad example</c:v>
                </c:pt>
                <c:pt idx="3">
                  <c:v>Ad example</c:v>
                </c:pt>
                <c:pt idx="4">
                  <c:v>Ad example</c:v>
                </c:pt>
                <c:pt idx="5">
                  <c:v>Ad example</c:v>
                </c:pt>
                <c:pt idx="6">
                  <c:v>Ad example</c:v>
                </c:pt>
                <c:pt idx="7">
                  <c:v>Ad example</c:v>
                </c:pt>
                <c:pt idx="8">
                  <c:v>Ad example</c:v>
                </c:pt>
                <c:pt idx="9">
                  <c:v>Ad example</c:v>
                </c:pt>
                <c:pt idx="10">
                  <c:v>Ad example</c:v>
                </c:pt>
                <c:pt idx="11">
                  <c:v>Ad example</c:v>
                </c:pt>
                <c:pt idx="12">
                  <c:v>Ad example</c:v>
                </c:pt>
                <c:pt idx="13">
                  <c:v>Ad example</c:v>
                </c:pt>
                <c:pt idx="14">
                  <c:v>Ad example</c:v>
                </c:pt>
                <c:pt idx="15">
                  <c:v>Ad example</c:v>
                </c:pt>
                <c:pt idx="16">
                  <c:v>Ad example</c:v>
                </c:pt>
                <c:pt idx="17">
                  <c:v>Ad example</c:v>
                </c:pt>
                <c:pt idx="18">
                  <c:v>Ad example</c:v>
                </c:pt>
                <c:pt idx="19">
                  <c:v>Ad example</c:v>
                </c:pt>
                <c:pt idx="20">
                  <c:v>Ad example</c:v>
                </c:pt>
                <c:pt idx="21">
                  <c:v>Ad example</c:v>
                </c:pt>
                <c:pt idx="22">
                  <c:v>Ad example</c:v>
                </c:pt>
                <c:pt idx="23">
                  <c:v>Ad example</c:v>
                </c:pt>
                <c:pt idx="24">
                  <c:v>Ad example</c:v>
                </c:pt>
                <c:pt idx="25">
                  <c:v>Ad example</c:v>
                </c:pt>
                <c:pt idx="26">
                  <c:v>Ad example</c:v>
                </c:pt>
                <c:pt idx="27">
                  <c:v>Ad example</c:v>
                </c:pt>
              </c:strCache>
            </c:strRef>
          </c:cat>
          <c:val>
            <c:numRef>
              <c:f>'per Ad'!$B$84:$B$111</c:f>
              <c:numCache>
                <c:formatCode>#,##0</c:formatCode>
                <c:ptCount val="28"/>
                <c:pt idx="0">
                  <c:v>1.0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5.0</c:v>
                </c:pt>
                <c:pt idx="5">
                  <c:v>5.0</c:v>
                </c:pt>
                <c:pt idx="6">
                  <c:v>0.0</c:v>
                </c:pt>
                <c:pt idx="7">
                  <c:v>6.0</c:v>
                </c:pt>
                <c:pt idx="8">
                  <c:v>3.0</c:v>
                </c:pt>
                <c:pt idx="9">
                  <c:v>3.0</c:v>
                </c:pt>
                <c:pt idx="10">
                  <c:v>1.0</c:v>
                </c:pt>
                <c:pt idx="11">
                  <c:v>0.0</c:v>
                </c:pt>
                <c:pt idx="12">
                  <c:v>6.0</c:v>
                </c:pt>
                <c:pt idx="13">
                  <c:v>0.0</c:v>
                </c:pt>
                <c:pt idx="14">
                  <c:v>0.0</c:v>
                </c:pt>
                <c:pt idx="15">
                  <c:v>4.0</c:v>
                </c:pt>
                <c:pt idx="16">
                  <c:v>0.0</c:v>
                </c:pt>
                <c:pt idx="17">
                  <c:v>5.0</c:v>
                </c:pt>
                <c:pt idx="18">
                  <c:v>5.0</c:v>
                </c:pt>
                <c:pt idx="19">
                  <c:v>12.0</c:v>
                </c:pt>
                <c:pt idx="20">
                  <c:v>9.0</c:v>
                </c:pt>
                <c:pt idx="21">
                  <c:v>3.0</c:v>
                </c:pt>
                <c:pt idx="22">
                  <c:v>0.0</c:v>
                </c:pt>
                <c:pt idx="23">
                  <c:v>1.0</c:v>
                </c:pt>
                <c:pt idx="24">
                  <c:v>2.0</c:v>
                </c:pt>
                <c:pt idx="25">
                  <c:v>5.0</c:v>
                </c:pt>
                <c:pt idx="26">
                  <c:v>3.0</c:v>
                </c:pt>
                <c:pt idx="27">
                  <c:v>3.0</c:v>
                </c:pt>
              </c:numCache>
            </c:numRef>
          </c:val>
        </c:ser>
        <c:ser>
          <c:idx val="1"/>
          <c:order val="1"/>
          <c:tx>
            <c:strRef>
              <c:f>'per Ad'!$F$83</c:f>
              <c:strCache>
                <c:ptCount val="1"/>
                <c:pt idx="0">
                  <c:v>Clicks</c:v>
                </c:pt>
              </c:strCache>
            </c:strRef>
          </c:tx>
          <c:invertIfNegative val="0"/>
          <c:val>
            <c:numRef>
              <c:f>'per Ad'!$F$84:$F$111</c:f>
              <c:numCache>
                <c:formatCode>#,##0</c:formatCode>
                <c:ptCount val="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7.0</c:v>
                </c:pt>
                <c:pt idx="5">
                  <c:v>5.0</c:v>
                </c:pt>
                <c:pt idx="6">
                  <c:v>0.0</c:v>
                </c:pt>
                <c:pt idx="7">
                  <c:v>5.0</c:v>
                </c:pt>
                <c:pt idx="8">
                  <c:v>4.0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  <c:pt idx="12">
                  <c:v>7.0</c:v>
                </c:pt>
                <c:pt idx="13">
                  <c:v>0.0</c:v>
                </c:pt>
                <c:pt idx="14">
                  <c:v>0.0</c:v>
                </c:pt>
                <c:pt idx="15">
                  <c:v>3.0</c:v>
                </c:pt>
                <c:pt idx="16">
                  <c:v>1.0</c:v>
                </c:pt>
                <c:pt idx="17">
                  <c:v>5.0</c:v>
                </c:pt>
                <c:pt idx="18">
                  <c:v>5.0</c:v>
                </c:pt>
                <c:pt idx="19">
                  <c:v>12.0</c:v>
                </c:pt>
                <c:pt idx="20">
                  <c:v>11.0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2.0</c:v>
                </c:pt>
                <c:pt idx="25">
                  <c:v>7.0</c:v>
                </c:pt>
                <c:pt idx="26">
                  <c:v>3.0</c:v>
                </c:pt>
                <c:pt idx="27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4445048"/>
        <c:axId val="-2065293912"/>
      </c:barChart>
      <c:catAx>
        <c:axId val="-2134445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65293912"/>
        <c:crosses val="autoZero"/>
        <c:auto val="1"/>
        <c:lblAlgn val="ctr"/>
        <c:lblOffset val="100"/>
        <c:noMultiLvlLbl val="0"/>
      </c:catAx>
      <c:valAx>
        <c:axId val="-2065293912"/>
        <c:scaling>
          <c:orientation val="minMax"/>
        </c:scaling>
        <c:delete val="0"/>
        <c:axPos val="b"/>
        <c:majorGridlines>
          <c:spPr>
            <a:effectLst/>
          </c:spPr>
        </c:majorGridlines>
        <c:title>
          <c:tx>
            <c:rich>
              <a:bodyPr rot="0"/>
              <a:lstStyle/>
              <a:p>
                <a:r>
                  <a:rPr lang="en-US"/>
                  <a:t>Actions &amp; Clicks</a:t>
                </a:r>
              </a:p>
            </c:rich>
          </c:tx>
          <c:layout/>
          <c:overlay val="0"/>
        </c:title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6529391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'per Ad'!$C$83</c:f>
              <c:strCache>
                <c:ptCount val="1"/>
                <c:pt idx="0">
                  <c:v>CPA</c:v>
                </c:pt>
              </c:strCache>
            </c:strRef>
          </c:tx>
          <c:invertIfNegative val="0"/>
          <c:cat>
            <c:strRef>
              <c:f>'per Ad'!$A$84:$A$111</c:f>
              <c:strCache>
                <c:ptCount val="28"/>
                <c:pt idx="0">
                  <c:v>Ad example</c:v>
                </c:pt>
                <c:pt idx="1">
                  <c:v>Ad example</c:v>
                </c:pt>
                <c:pt idx="2">
                  <c:v>Ad example</c:v>
                </c:pt>
                <c:pt idx="3">
                  <c:v>Ad example</c:v>
                </c:pt>
                <c:pt idx="4">
                  <c:v>Ad example</c:v>
                </c:pt>
                <c:pt idx="5">
                  <c:v>Ad example</c:v>
                </c:pt>
                <c:pt idx="6">
                  <c:v>Ad example</c:v>
                </c:pt>
                <c:pt idx="7">
                  <c:v>Ad example</c:v>
                </c:pt>
                <c:pt idx="8">
                  <c:v>Ad example</c:v>
                </c:pt>
                <c:pt idx="9">
                  <c:v>Ad example</c:v>
                </c:pt>
                <c:pt idx="10">
                  <c:v>Ad example</c:v>
                </c:pt>
                <c:pt idx="11">
                  <c:v>Ad example</c:v>
                </c:pt>
                <c:pt idx="12">
                  <c:v>Ad example</c:v>
                </c:pt>
                <c:pt idx="13">
                  <c:v>Ad example</c:v>
                </c:pt>
                <c:pt idx="14">
                  <c:v>Ad example</c:v>
                </c:pt>
                <c:pt idx="15">
                  <c:v>Ad example</c:v>
                </c:pt>
                <c:pt idx="16">
                  <c:v>Ad example</c:v>
                </c:pt>
                <c:pt idx="17">
                  <c:v>Ad example</c:v>
                </c:pt>
                <c:pt idx="18">
                  <c:v>Ad example</c:v>
                </c:pt>
                <c:pt idx="19">
                  <c:v>Ad example</c:v>
                </c:pt>
                <c:pt idx="20">
                  <c:v>Ad example</c:v>
                </c:pt>
                <c:pt idx="21">
                  <c:v>Ad example</c:v>
                </c:pt>
                <c:pt idx="22">
                  <c:v>Ad example</c:v>
                </c:pt>
                <c:pt idx="23">
                  <c:v>Ad example</c:v>
                </c:pt>
                <c:pt idx="24">
                  <c:v>Ad example</c:v>
                </c:pt>
                <c:pt idx="25">
                  <c:v>Ad example</c:v>
                </c:pt>
                <c:pt idx="26">
                  <c:v>Ad example</c:v>
                </c:pt>
                <c:pt idx="27">
                  <c:v>Ad example</c:v>
                </c:pt>
              </c:strCache>
            </c:strRef>
          </c:cat>
          <c:val>
            <c:numRef>
              <c:f>'per Ad'!$C$84:$C$111</c:f>
              <c:numCache>
                <c:formatCode>#\ ##,000\ [$Kč]</c:formatCode>
                <c:ptCount val="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'per Ad'!$G$83</c:f>
              <c:strCache>
                <c:ptCount val="1"/>
                <c:pt idx="0">
                  <c:v>CPC</c:v>
                </c:pt>
              </c:strCache>
            </c:strRef>
          </c:tx>
          <c:invertIfNegative val="0"/>
          <c:val>
            <c:numRef>
              <c:f>'per Ad'!$G$84:$G$111</c:f>
              <c:numCache>
                <c:formatCode>#\ ##,000\ [$Kč]</c:formatCode>
                <c:ptCount val="2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742152"/>
        <c:axId val="-2050014392"/>
      </c:barChart>
      <c:catAx>
        <c:axId val="-2066742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0014392"/>
        <c:crosses val="autoZero"/>
        <c:auto val="1"/>
        <c:lblAlgn val="ctr"/>
        <c:lblOffset val="100"/>
        <c:noMultiLvlLbl val="0"/>
      </c:catAx>
      <c:valAx>
        <c:axId val="-2050014392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001439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'per Ad'!$G$142</c:f>
              <c:strCache>
                <c:ptCount val="1"/>
                <c:pt idx="0">
                  <c:v>Cost Per Video View (3s)</c:v>
                </c:pt>
              </c:strCache>
            </c:strRef>
          </c:tx>
          <c:invertIfNegative val="0"/>
          <c:cat>
            <c:strRef>
              <c:f>'per Ad'!$A$143:$A$151</c:f>
              <c:strCache>
                <c:ptCount val="9"/>
                <c:pt idx="0">
                  <c:v>Ad example</c:v>
                </c:pt>
                <c:pt idx="1">
                  <c:v>Ad example</c:v>
                </c:pt>
                <c:pt idx="2">
                  <c:v>Ad example</c:v>
                </c:pt>
                <c:pt idx="3">
                  <c:v>Ad example</c:v>
                </c:pt>
                <c:pt idx="4">
                  <c:v>Ad example</c:v>
                </c:pt>
                <c:pt idx="5">
                  <c:v>Ad example</c:v>
                </c:pt>
                <c:pt idx="6">
                  <c:v>Ad example</c:v>
                </c:pt>
                <c:pt idx="7">
                  <c:v>Ad example</c:v>
                </c:pt>
                <c:pt idx="8">
                  <c:v>Ad example</c:v>
                </c:pt>
              </c:strCache>
            </c:strRef>
          </c:cat>
          <c:val>
            <c:numRef>
              <c:f>'per Ad'!$G$143:$G$151</c:f>
              <c:numCache>
                <c:formatCode>#\ ##,000\ [$Kč]</c:formatCode>
                <c:ptCount val="9"/>
                <c:pt idx="0">
                  <c:v>0.708257261410788</c:v>
                </c:pt>
                <c:pt idx="1">
                  <c:v>0.5809375</c:v>
                </c:pt>
                <c:pt idx="2">
                  <c:v>0.846042780748663</c:v>
                </c:pt>
                <c:pt idx="3">
                  <c:v>1.456636085626911</c:v>
                </c:pt>
                <c:pt idx="4">
                  <c:v>1.021090909090909</c:v>
                </c:pt>
                <c:pt idx="5">
                  <c:v>0.924695652173913</c:v>
                </c:pt>
                <c:pt idx="6">
                  <c:v>0.929533678756476</c:v>
                </c:pt>
                <c:pt idx="7">
                  <c:v>0.852584933530279</c:v>
                </c:pt>
                <c:pt idx="8">
                  <c:v>1.563880597014925</c:v>
                </c:pt>
              </c:numCache>
            </c:numRef>
          </c:val>
        </c:ser>
        <c:ser>
          <c:idx val="1"/>
          <c:order val="1"/>
          <c:tx>
            <c:strRef>
              <c:f>'per Ad'!$H$142</c:f>
              <c:strCache>
                <c:ptCount val="1"/>
                <c:pt idx="0">
                  <c:v>Cost Per 10 sec video view</c:v>
                </c:pt>
              </c:strCache>
            </c:strRef>
          </c:tx>
          <c:invertIfNegative val="0"/>
          <c:val>
            <c:numRef>
              <c:f>'per Ad'!$H$143:$H$151</c:f>
              <c:numCache>
                <c:formatCode>#\ ##,000\ [$Kč]</c:formatCode>
                <c:ptCount val="9"/>
                <c:pt idx="0">
                  <c:v>1.928700564971751</c:v>
                </c:pt>
                <c:pt idx="1">
                  <c:v>1.77047619047619</c:v>
                </c:pt>
                <c:pt idx="2">
                  <c:v>2.727758620689655</c:v>
                </c:pt>
                <c:pt idx="3">
                  <c:v>4.961666666666666</c:v>
                </c:pt>
                <c:pt idx="4">
                  <c:v>4.32</c:v>
                </c:pt>
                <c:pt idx="5">
                  <c:v>5.063809523809524</c:v>
                </c:pt>
                <c:pt idx="6">
                  <c:v>4.077272727272727</c:v>
                </c:pt>
                <c:pt idx="7">
                  <c:v>2.67635239567233</c:v>
                </c:pt>
                <c:pt idx="8">
                  <c:v>6.163529411764706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4937976"/>
        <c:axId val="-2065716968"/>
      </c:barChart>
      <c:catAx>
        <c:axId val="-2054937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65716968"/>
        <c:crosses val="autoZero"/>
        <c:auto val="1"/>
        <c:lblAlgn val="ctr"/>
        <c:lblOffset val="100"/>
        <c:noMultiLvlLbl val="0"/>
      </c:catAx>
      <c:valAx>
        <c:axId val="-2065716968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6571696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'per Ad'!$B$142</c:f>
              <c:strCache>
                <c:ptCount val="1"/>
                <c:pt idx="0">
                  <c:v>3 sec video view</c:v>
                </c:pt>
              </c:strCache>
            </c:strRef>
          </c:tx>
          <c:invertIfNegative val="0"/>
          <c:cat>
            <c:strRef>
              <c:f>'per Ad'!$A$164:$A$164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'per Ad'!$B$152</c:f>
              <c:numCache>
                <c:formatCode>#,##0</c:formatCode>
                <c:ptCount val="1"/>
                <c:pt idx="0">
                  <c:v>5498.0</c:v>
                </c:pt>
              </c:numCache>
            </c:numRef>
          </c:val>
        </c:ser>
        <c:ser>
          <c:idx val="1"/>
          <c:order val="1"/>
          <c:tx>
            <c:strRef>
              <c:f>'per Ad'!$B$154</c:f>
              <c:strCache>
                <c:ptCount val="1"/>
                <c:pt idx="0">
                  <c:v>25% watched</c:v>
                </c:pt>
              </c:strCache>
            </c:strRef>
          </c:tx>
          <c:invertIfNegative val="0"/>
          <c:val>
            <c:numRef>
              <c:f>'per Ad'!$B$164</c:f>
              <c:numCache>
                <c:formatCode>#,##0</c:formatCode>
                <c:ptCount val="1"/>
                <c:pt idx="0">
                  <c:v>5328.0</c:v>
                </c:pt>
              </c:numCache>
            </c:numRef>
          </c:val>
        </c:ser>
        <c:ser>
          <c:idx val="2"/>
          <c:order val="2"/>
          <c:tx>
            <c:strRef>
              <c:f>'per Ad'!$C$154</c:f>
              <c:strCache>
                <c:ptCount val="1"/>
                <c:pt idx="0">
                  <c:v>50% watched</c:v>
                </c:pt>
              </c:strCache>
            </c:strRef>
          </c:tx>
          <c:invertIfNegative val="0"/>
          <c:val>
            <c:numRef>
              <c:f>'per Ad'!$C$164</c:f>
              <c:numCache>
                <c:formatCode>#,##0</c:formatCode>
                <c:ptCount val="1"/>
                <c:pt idx="0">
                  <c:v>2673.0</c:v>
                </c:pt>
              </c:numCache>
            </c:numRef>
          </c:val>
        </c:ser>
        <c:ser>
          <c:idx val="3"/>
          <c:order val="3"/>
          <c:tx>
            <c:strRef>
              <c:f>'per Ad'!$D$154</c:f>
              <c:strCache>
                <c:ptCount val="1"/>
                <c:pt idx="0">
                  <c:v>75% watched</c:v>
                </c:pt>
              </c:strCache>
            </c:strRef>
          </c:tx>
          <c:invertIfNegative val="0"/>
          <c:val>
            <c:numRef>
              <c:f>'per Ad'!$D$164</c:f>
              <c:numCache>
                <c:formatCode>#,##0</c:formatCode>
                <c:ptCount val="1"/>
                <c:pt idx="0">
                  <c:v>1682.0</c:v>
                </c:pt>
              </c:numCache>
            </c:numRef>
          </c:val>
        </c:ser>
        <c:ser>
          <c:idx val="4"/>
          <c:order val="4"/>
          <c:tx>
            <c:strRef>
              <c:f>'per Ad'!$E$154</c:f>
              <c:strCache>
                <c:ptCount val="1"/>
                <c:pt idx="0">
                  <c:v>100% watched</c:v>
                </c:pt>
              </c:strCache>
            </c:strRef>
          </c:tx>
          <c:invertIfNegative val="0"/>
          <c:val>
            <c:numRef>
              <c:f>'per Ad'!$E$164</c:f>
              <c:numCache>
                <c:formatCode>#,##0</c:formatCode>
                <c:ptCount val="1"/>
                <c:pt idx="0">
                  <c:v>1085.0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5927384"/>
        <c:axId val="-2050782456"/>
      </c:barChart>
      <c:catAx>
        <c:axId val="-20659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0782456"/>
        <c:crosses val="autoZero"/>
        <c:auto val="1"/>
        <c:lblAlgn val="ctr"/>
        <c:lblOffset val="100"/>
        <c:noMultiLvlLbl val="0"/>
      </c:catAx>
      <c:valAx>
        <c:axId val="-2050782456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078245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 b="0" i="0" u="none" strike="noStrike">
                <a:latin typeface="Calibri"/>
              </a:rPr>
              <a:t>Age Share (Imps.)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Demographics!$A$36:$A$41</c:f>
              <c:strCache>
                <c:ptCount val="1"/>
                <c:pt idx="0">
                  <c:v>18-24 25-34 35-44 45-54 55-64 65+</c:v>
                </c:pt>
              </c:strCache>
            </c:strRef>
          </c:tx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Demographics!$A$36:$A$41</c:f>
              <c:strCache>
                <c:ptCount val="6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Demographics!$C$36:$C$41</c:f>
              <c:numCache>
                <c:formatCode>#\ ##,000%</c:formatCode>
                <c:ptCount val="6"/>
                <c:pt idx="0">
                  <c:v>0.18913890377471</c:v>
                </c:pt>
                <c:pt idx="1">
                  <c:v>0.482824438971815</c:v>
                </c:pt>
                <c:pt idx="2">
                  <c:v>0.204190475617026</c:v>
                </c:pt>
                <c:pt idx="3">
                  <c:v>0.0641953528140222</c:v>
                </c:pt>
                <c:pt idx="4">
                  <c:v>0.0255014179998675</c:v>
                </c:pt>
                <c:pt idx="5">
                  <c:v>0.0341494108225603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 b="0" i="0" u="none" strike="noStrike">
                <a:latin typeface="Calibri"/>
              </a:rPr>
              <a:t>Gender Share (Imps.)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Demographics!$E$36:$E$38</c:f>
              <c:strCache>
                <c:ptCount val="1"/>
                <c:pt idx="0">
                  <c:v>female male unknown</c:v>
                </c:pt>
              </c:strCache>
            </c:strRef>
          </c:tx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Demographics!$E$36:$E$38</c:f>
              <c:strCache>
                <c:ptCount val="3"/>
                <c:pt idx="0">
                  <c:v>female</c:v>
                </c:pt>
                <c:pt idx="1">
                  <c:v>male</c:v>
                </c:pt>
                <c:pt idx="2">
                  <c:v>unknown</c:v>
                </c:pt>
              </c:strCache>
            </c:strRef>
          </c:cat>
          <c:val>
            <c:numRef>
              <c:f>Demographics!$G$36:$G$38</c:f>
              <c:numCache>
                <c:formatCode>#\ ##,000%</c:formatCode>
                <c:ptCount val="3"/>
                <c:pt idx="0">
                  <c:v>0.256782916563804</c:v>
                </c:pt>
                <c:pt idx="1">
                  <c:v>0.718974102686071</c:v>
                </c:pt>
                <c:pt idx="2">
                  <c:v>0.0242429807501249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Demographics!$C$60</c:f>
              <c:strCache>
                <c:ptCount val="1"/>
                <c:pt idx="0">
                  <c:v>Reach</c:v>
                </c:pt>
              </c:strCache>
            </c:strRef>
          </c:tx>
          <c:invertIfNegative val="0"/>
          <c:cat>
            <c:multiLvlStrRef>
              <c:f>Demographics!$A$61:$B$78</c:f>
              <c:multiLvlStrCache>
                <c:ptCount val="18"/>
                <c:lvl>
                  <c:pt idx="0">
                    <c:v>female</c:v>
                  </c:pt>
                  <c:pt idx="1">
                    <c:v>female</c:v>
                  </c:pt>
                  <c:pt idx="2">
                    <c:v>female</c:v>
                  </c:pt>
                  <c:pt idx="3">
                    <c:v>female</c:v>
                  </c:pt>
                  <c:pt idx="4">
                    <c:v>female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male</c:v>
                  </c:pt>
                  <c:pt idx="8">
                    <c:v>male</c:v>
                  </c:pt>
                  <c:pt idx="9">
                    <c:v>male</c:v>
                  </c:pt>
                  <c:pt idx="10">
                    <c:v>male</c:v>
                  </c:pt>
                  <c:pt idx="11">
                    <c:v>male</c:v>
                  </c:pt>
                  <c:pt idx="12">
                    <c:v>unknown</c:v>
                  </c:pt>
                  <c:pt idx="13">
                    <c:v>unknown</c:v>
                  </c:pt>
                  <c:pt idx="14">
                    <c:v>unknown</c:v>
                  </c:pt>
                  <c:pt idx="15">
                    <c:v>unknown</c:v>
                  </c:pt>
                  <c:pt idx="16">
                    <c:v>unknown</c:v>
                  </c:pt>
                  <c:pt idx="17">
                    <c:v>unknown</c:v>
                  </c:pt>
                </c:lvl>
                <c:lvl>
                  <c:pt idx="0">
                    <c:v>18-24</c:v>
                  </c:pt>
                  <c:pt idx="1">
                    <c:v>25-34</c:v>
                  </c:pt>
                  <c:pt idx="2">
                    <c:v>35-44</c:v>
                  </c:pt>
                  <c:pt idx="3">
                    <c:v>45-54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18-24</c:v>
                  </c:pt>
                  <c:pt idx="7">
                    <c:v>25-34</c:v>
                  </c:pt>
                  <c:pt idx="8">
                    <c:v>35-44</c:v>
                  </c:pt>
                  <c:pt idx="9">
                    <c:v>45-54</c:v>
                  </c:pt>
                  <c:pt idx="10">
                    <c:v>55-64</c:v>
                  </c:pt>
                  <c:pt idx="11">
                    <c:v>65+</c:v>
                  </c:pt>
                  <c:pt idx="12">
                    <c:v>18-24</c:v>
                  </c:pt>
                  <c:pt idx="13">
                    <c:v>25-34</c:v>
                  </c:pt>
                  <c:pt idx="14">
                    <c:v>35-44</c:v>
                  </c:pt>
                  <c:pt idx="15">
                    <c:v>45-54</c:v>
                  </c:pt>
                  <c:pt idx="16">
                    <c:v>55-64</c:v>
                  </c:pt>
                  <c:pt idx="17">
                    <c:v>65+</c:v>
                  </c:pt>
                </c:lvl>
              </c:multiLvlStrCache>
            </c:multiLvlStrRef>
          </c:cat>
          <c:val>
            <c:numRef>
              <c:f>Demographics!$C$61:$C$78</c:f>
              <c:numCache>
                <c:formatCode>#,##0</c:formatCode>
                <c:ptCount val="18"/>
                <c:pt idx="0">
                  <c:v>25893.0</c:v>
                </c:pt>
                <c:pt idx="1">
                  <c:v>70412.0</c:v>
                </c:pt>
                <c:pt idx="2">
                  <c:v>32322.0</c:v>
                </c:pt>
                <c:pt idx="3">
                  <c:v>11643.0</c:v>
                </c:pt>
                <c:pt idx="4">
                  <c:v>4858.0</c:v>
                </c:pt>
                <c:pt idx="5">
                  <c:v>5806.0</c:v>
                </c:pt>
                <c:pt idx="6">
                  <c:v>85257.0</c:v>
                </c:pt>
                <c:pt idx="7">
                  <c:v>213102.0</c:v>
                </c:pt>
                <c:pt idx="8">
                  <c:v>85093.0</c:v>
                </c:pt>
                <c:pt idx="9">
                  <c:v>23817.0</c:v>
                </c:pt>
                <c:pt idx="10">
                  <c:v>8115.0</c:v>
                </c:pt>
                <c:pt idx="11">
                  <c:v>11394.0</c:v>
                </c:pt>
                <c:pt idx="12">
                  <c:v>1016.0</c:v>
                </c:pt>
                <c:pt idx="13">
                  <c:v>5701.0</c:v>
                </c:pt>
                <c:pt idx="14">
                  <c:v>4618.0</c:v>
                </c:pt>
                <c:pt idx="15">
                  <c:v>1516.0</c:v>
                </c:pt>
                <c:pt idx="16">
                  <c:v>630.0</c:v>
                </c:pt>
                <c:pt idx="17">
                  <c:v>945.0</c:v>
                </c:pt>
              </c:numCache>
            </c:numRef>
          </c:val>
        </c:ser>
        <c:ser>
          <c:idx val="1"/>
          <c:order val="1"/>
          <c:tx>
            <c:strRef>
              <c:f>Demographics!$E$60</c:f>
              <c:strCache>
                <c:ptCount val="1"/>
                <c:pt idx="0">
                  <c:v>Impressions</c:v>
                </c:pt>
              </c:strCache>
            </c:strRef>
          </c:tx>
          <c:invertIfNegative val="0"/>
          <c:val>
            <c:numRef>
              <c:f>Demographics!$E$61:$E$78</c:f>
              <c:numCache>
                <c:formatCode>#,##0</c:formatCode>
                <c:ptCount val="18"/>
                <c:pt idx="0">
                  <c:v>29302.0</c:v>
                </c:pt>
                <c:pt idx="1">
                  <c:v>77499.0</c:v>
                </c:pt>
                <c:pt idx="2">
                  <c:v>36138.0</c:v>
                </c:pt>
                <c:pt idx="3">
                  <c:v>13553.0</c:v>
                </c:pt>
                <c:pt idx="4">
                  <c:v>6389.0</c:v>
                </c:pt>
                <c:pt idx="5">
                  <c:v>7704.0</c:v>
                </c:pt>
                <c:pt idx="6">
                  <c:v>95196.0</c:v>
                </c:pt>
                <c:pt idx="7">
                  <c:v>236953.0</c:v>
                </c:pt>
                <c:pt idx="8">
                  <c:v>94355.0</c:v>
                </c:pt>
                <c:pt idx="9">
                  <c:v>27360.0</c:v>
                </c:pt>
                <c:pt idx="10">
                  <c:v>9847.0</c:v>
                </c:pt>
                <c:pt idx="11">
                  <c:v>13915.0</c:v>
                </c:pt>
                <c:pt idx="12">
                  <c:v>1150.0</c:v>
                </c:pt>
                <c:pt idx="13">
                  <c:v>6296.0</c:v>
                </c:pt>
                <c:pt idx="14">
                  <c:v>5154.0</c:v>
                </c:pt>
                <c:pt idx="15">
                  <c:v>1733.0</c:v>
                </c:pt>
                <c:pt idx="16">
                  <c:v>705.0</c:v>
                </c:pt>
                <c:pt idx="17">
                  <c:v>1067.0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205624"/>
        <c:axId val="-2051549720"/>
      </c:barChart>
      <c:catAx>
        <c:axId val="-2051205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549720"/>
        <c:crosses val="autoZero"/>
        <c:auto val="1"/>
        <c:lblAlgn val="ctr"/>
        <c:lblOffset val="100"/>
        <c:noMultiLvlLbl val="0"/>
      </c:catAx>
      <c:valAx>
        <c:axId val="-2051549720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54972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Demographics!$G$60</c:f>
              <c:strCache>
                <c:ptCount val="1"/>
                <c:pt idx="0">
                  <c:v>CPM</c:v>
                </c:pt>
              </c:strCache>
            </c:strRef>
          </c:tx>
          <c:invertIfNegative val="0"/>
          <c:cat>
            <c:multiLvlStrRef>
              <c:f>Demographics!$A$61:$B$78</c:f>
              <c:multiLvlStrCache>
                <c:ptCount val="18"/>
                <c:lvl>
                  <c:pt idx="0">
                    <c:v>female</c:v>
                  </c:pt>
                  <c:pt idx="1">
                    <c:v>female</c:v>
                  </c:pt>
                  <c:pt idx="2">
                    <c:v>female</c:v>
                  </c:pt>
                  <c:pt idx="3">
                    <c:v>female</c:v>
                  </c:pt>
                  <c:pt idx="4">
                    <c:v>female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male</c:v>
                  </c:pt>
                  <c:pt idx="8">
                    <c:v>male</c:v>
                  </c:pt>
                  <c:pt idx="9">
                    <c:v>male</c:v>
                  </c:pt>
                  <c:pt idx="10">
                    <c:v>male</c:v>
                  </c:pt>
                  <c:pt idx="11">
                    <c:v>male</c:v>
                  </c:pt>
                  <c:pt idx="12">
                    <c:v>unknown</c:v>
                  </c:pt>
                  <c:pt idx="13">
                    <c:v>unknown</c:v>
                  </c:pt>
                  <c:pt idx="14">
                    <c:v>unknown</c:v>
                  </c:pt>
                  <c:pt idx="15">
                    <c:v>unknown</c:v>
                  </c:pt>
                  <c:pt idx="16">
                    <c:v>unknown</c:v>
                  </c:pt>
                  <c:pt idx="17">
                    <c:v>unknown</c:v>
                  </c:pt>
                </c:lvl>
                <c:lvl>
                  <c:pt idx="0">
                    <c:v>18-24</c:v>
                  </c:pt>
                  <c:pt idx="1">
                    <c:v>25-34</c:v>
                  </c:pt>
                  <c:pt idx="2">
                    <c:v>35-44</c:v>
                  </c:pt>
                  <c:pt idx="3">
                    <c:v>45-54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18-24</c:v>
                  </c:pt>
                  <c:pt idx="7">
                    <c:v>25-34</c:v>
                  </c:pt>
                  <c:pt idx="8">
                    <c:v>35-44</c:v>
                  </c:pt>
                  <c:pt idx="9">
                    <c:v>45-54</c:v>
                  </c:pt>
                  <c:pt idx="10">
                    <c:v>55-64</c:v>
                  </c:pt>
                  <c:pt idx="11">
                    <c:v>65+</c:v>
                  </c:pt>
                  <c:pt idx="12">
                    <c:v>18-24</c:v>
                  </c:pt>
                  <c:pt idx="13">
                    <c:v>25-34</c:v>
                  </c:pt>
                  <c:pt idx="14">
                    <c:v>35-44</c:v>
                  </c:pt>
                  <c:pt idx="15">
                    <c:v>45-54</c:v>
                  </c:pt>
                  <c:pt idx="16">
                    <c:v>55-64</c:v>
                  </c:pt>
                  <c:pt idx="17">
                    <c:v>65+</c:v>
                  </c:pt>
                </c:lvl>
              </c:multiLvlStrCache>
            </c:multiLvlStrRef>
          </c:cat>
          <c:val>
            <c:numRef>
              <c:f>Demographics!$G$61:$G$78</c:f>
              <c:numCache>
                <c:formatCode>#\ ##,000\ [$Kč]</c:formatCode>
                <c:ptCount val="18"/>
                <c:pt idx="0">
                  <c:v>93.00798580301685</c:v>
                </c:pt>
                <c:pt idx="1">
                  <c:v>167.8850049678057</c:v>
                </c:pt>
                <c:pt idx="2">
                  <c:v>227.9118932979135</c:v>
                </c:pt>
                <c:pt idx="3">
                  <c:v>236.4613000811628</c:v>
                </c:pt>
                <c:pt idx="4">
                  <c:v>195.905462513695</c:v>
                </c:pt>
                <c:pt idx="5">
                  <c:v>156.0202492211835</c:v>
                </c:pt>
                <c:pt idx="6">
                  <c:v>102.8135635951088</c:v>
                </c:pt>
                <c:pt idx="7">
                  <c:v>149.8972370048058</c:v>
                </c:pt>
                <c:pt idx="8">
                  <c:v>210.5599067352018</c:v>
                </c:pt>
                <c:pt idx="9">
                  <c:v>248.4919590643265</c:v>
                </c:pt>
                <c:pt idx="10">
                  <c:v>237.6358281710166</c:v>
                </c:pt>
                <c:pt idx="11">
                  <c:v>137.4085519223859</c:v>
                </c:pt>
                <c:pt idx="12">
                  <c:v>133.3913043478256</c:v>
                </c:pt>
                <c:pt idx="13">
                  <c:v>164.7299872935193</c:v>
                </c:pt>
                <c:pt idx="14">
                  <c:v>174.3422584400466</c:v>
                </c:pt>
                <c:pt idx="15">
                  <c:v>236.7455279861497</c:v>
                </c:pt>
                <c:pt idx="16">
                  <c:v>254.8368794326237</c:v>
                </c:pt>
                <c:pt idx="17">
                  <c:v>188.8472352389873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2021320"/>
        <c:axId val="-2052018312"/>
      </c:barChart>
      <c:catAx>
        <c:axId val="-2052021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2018312"/>
        <c:crosses val="autoZero"/>
        <c:auto val="1"/>
        <c:lblAlgn val="ctr"/>
        <c:lblOffset val="100"/>
        <c:noMultiLvlLbl val="0"/>
      </c:catAx>
      <c:valAx>
        <c:axId val="-2052018312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201831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Demographics!$C$99</c:f>
              <c:strCache>
                <c:ptCount val="1"/>
                <c:pt idx="0">
                  <c:v>Conversions (Actions)</c:v>
                </c:pt>
              </c:strCache>
            </c:strRef>
          </c:tx>
          <c:invertIfNegative val="0"/>
          <c:cat>
            <c:multiLvlStrRef>
              <c:f>Demographics!$A$100:$B$117</c:f>
              <c:multiLvlStrCache>
                <c:ptCount val="18"/>
                <c:lvl>
                  <c:pt idx="0">
                    <c:v>female</c:v>
                  </c:pt>
                  <c:pt idx="1">
                    <c:v>female</c:v>
                  </c:pt>
                  <c:pt idx="2">
                    <c:v>female</c:v>
                  </c:pt>
                  <c:pt idx="3">
                    <c:v>female</c:v>
                  </c:pt>
                  <c:pt idx="4">
                    <c:v>female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male</c:v>
                  </c:pt>
                  <c:pt idx="8">
                    <c:v>male</c:v>
                  </c:pt>
                  <c:pt idx="9">
                    <c:v>male</c:v>
                  </c:pt>
                  <c:pt idx="10">
                    <c:v>male</c:v>
                  </c:pt>
                  <c:pt idx="11">
                    <c:v>male</c:v>
                  </c:pt>
                  <c:pt idx="12">
                    <c:v>unknown</c:v>
                  </c:pt>
                  <c:pt idx="13">
                    <c:v>unknown</c:v>
                  </c:pt>
                  <c:pt idx="14">
                    <c:v>unknown</c:v>
                  </c:pt>
                  <c:pt idx="15">
                    <c:v>unknown</c:v>
                  </c:pt>
                  <c:pt idx="16">
                    <c:v>unknown</c:v>
                  </c:pt>
                  <c:pt idx="17">
                    <c:v>unknown</c:v>
                  </c:pt>
                </c:lvl>
                <c:lvl>
                  <c:pt idx="0">
                    <c:v>18-24</c:v>
                  </c:pt>
                  <c:pt idx="1">
                    <c:v>25-34</c:v>
                  </c:pt>
                  <c:pt idx="2">
                    <c:v>35-44</c:v>
                  </c:pt>
                  <c:pt idx="3">
                    <c:v>45-54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18-24</c:v>
                  </c:pt>
                  <c:pt idx="7">
                    <c:v>25-34</c:v>
                  </c:pt>
                  <c:pt idx="8">
                    <c:v>35-44</c:v>
                  </c:pt>
                  <c:pt idx="9">
                    <c:v>45-54</c:v>
                  </c:pt>
                  <c:pt idx="10">
                    <c:v>55-64</c:v>
                  </c:pt>
                  <c:pt idx="11">
                    <c:v>65+</c:v>
                  </c:pt>
                  <c:pt idx="12">
                    <c:v>18-24</c:v>
                  </c:pt>
                  <c:pt idx="13">
                    <c:v>25-34</c:v>
                  </c:pt>
                  <c:pt idx="14">
                    <c:v>35-44</c:v>
                  </c:pt>
                  <c:pt idx="15">
                    <c:v>45-54</c:v>
                  </c:pt>
                  <c:pt idx="16">
                    <c:v>55-64</c:v>
                  </c:pt>
                  <c:pt idx="17">
                    <c:v>65+</c:v>
                  </c:pt>
                </c:lvl>
              </c:multiLvlStrCache>
            </c:multiLvlStrRef>
          </c:cat>
          <c:val>
            <c:numRef>
              <c:f>Demographics!$C$100:$C$117</c:f>
              <c:numCache>
                <c:formatCode>#,##0</c:formatCode>
                <c:ptCount val="18"/>
                <c:pt idx="0">
                  <c:v>1728.0</c:v>
                </c:pt>
                <c:pt idx="1">
                  <c:v>4631.0</c:v>
                </c:pt>
                <c:pt idx="2">
                  <c:v>2640.0</c:v>
                </c:pt>
                <c:pt idx="3">
                  <c:v>1373.0</c:v>
                </c:pt>
                <c:pt idx="4">
                  <c:v>592.0</c:v>
                </c:pt>
                <c:pt idx="5">
                  <c:v>653.0</c:v>
                </c:pt>
                <c:pt idx="6">
                  <c:v>8823.0</c:v>
                </c:pt>
                <c:pt idx="7">
                  <c:v>20533.0</c:v>
                </c:pt>
                <c:pt idx="8">
                  <c:v>8886.0</c:v>
                </c:pt>
                <c:pt idx="9">
                  <c:v>3145.0</c:v>
                </c:pt>
                <c:pt idx="10">
                  <c:v>1256.0</c:v>
                </c:pt>
                <c:pt idx="11">
                  <c:v>1496.0</c:v>
                </c:pt>
                <c:pt idx="12">
                  <c:v>119.0</c:v>
                </c:pt>
                <c:pt idx="13">
                  <c:v>474.0</c:v>
                </c:pt>
                <c:pt idx="14">
                  <c:v>427.0</c:v>
                </c:pt>
                <c:pt idx="15">
                  <c:v>206.0</c:v>
                </c:pt>
                <c:pt idx="16">
                  <c:v>90.0</c:v>
                </c:pt>
                <c:pt idx="17">
                  <c:v>117.0</c:v>
                </c:pt>
              </c:numCache>
            </c:numRef>
          </c:val>
        </c:ser>
        <c:ser>
          <c:idx val="1"/>
          <c:order val="1"/>
          <c:tx>
            <c:strRef>
              <c:f>Demographics!$G$99</c:f>
              <c:strCache>
                <c:ptCount val="1"/>
                <c:pt idx="0">
                  <c:v>Clicks</c:v>
                </c:pt>
              </c:strCache>
            </c:strRef>
          </c:tx>
          <c:invertIfNegative val="0"/>
          <c:val>
            <c:numRef>
              <c:f>Demographics!$G$100:$G$117</c:f>
              <c:numCache>
                <c:formatCode>#,##0</c:formatCode>
                <c:ptCount val="18"/>
                <c:pt idx="0">
                  <c:v>469.0</c:v>
                </c:pt>
                <c:pt idx="1">
                  <c:v>1934.0</c:v>
                </c:pt>
                <c:pt idx="2">
                  <c:v>860.0</c:v>
                </c:pt>
                <c:pt idx="3">
                  <c:v>276.0</c:v>
                </c:pt>
                <c:pt idx="4">
                  <c:v>123.0</c:v>
                </c:pt>
                <c:pt idx="5">
                  <c:v>103.0</c:v>
                </c:pt>
                <c:pt idx="6">
                  <c:v>2222.0</c:v>
                </c:pt>
                <c:pt idx="7">
                  <c:v>5270.0</c:v>
                </c:pt>
                <c:pt idx="8">
                  <c:v>2148.0</c:v>
                </c:pt>
                <c:pt idx="9">
                  <c:v>527.0</c:v>
                </c:pt>
                <c:pt idx="10">
                  <c:v>134.0</c:v>
                </c:pt>
                <c:pt idx="11">
                  <c:v>184.0</c:v>
                </c:pt>
                <c:pt idx="12">
                  <c:v>23.0</c:v>
                </c:pt>
                <c:pt idx="13">
                  <c:v>115.0</c:v>
                </c:pt>
                <c:pt idx="14">
                  <c:v>102.0</c:v>
                </c:pt>
                <c:pt idx="15">
                  <c:v>25.0</c:v>
                </c:pt>
                <c:pt idx="16">
                  <c:v>12.0</c:v>
                </c:pt>
                <c:pt idx="17">
                  <c:v>22.0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169176"/>
        <c:axId val="-2051166312"/>
      </c:barChart>
      <c:catAx>
        <c:axId val="-2051169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166312"/>
        <c:crosses val="autoZero"/>
        <c:auto val="1"/>
        <c:lblAlgn val="ctr"/>
        <c:lblOffset val="100"/>
        <c:noMultiLvlLbl val="0"/>
      </c:catAx>
      <c:valAx>
        <c:axId val="-2051166312"/>
        <c:scaling>
          <c:orientation val="minMax"/>
        </c:scaling>
        <c:delete val="0"/>
        <c:axPos val="b"/>
        <c:majorGridlines>
          <c:spPr>
            <a:effectLst/>
          </c:spPr>
        </c:majorGridlines>
        <c:title>
          <c:tx>
            <c:rich>
              <a:bodyPr rot="0"/>
              <a:lstStyle/>
              <a:p>
                <a:r>
                  <a:rPr lang="en-US"/>
                  <a:t>Actions &amp; Clicks</a:t>
                </a:r>
              </a:p>
            </c:rich>
          </c:tx>
          <c:layout/>
          <c:overlay val="0"/>
        </c:title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16631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Demographics!$D$99</c:f>
              <c:strCache>
                <c:ptCount val="1"/>
                <c:pt idx="0">
                  <c:v>CPA</c:v>
                </c:pt>
              </c:strCache>
            </c:strRef>
          </c:tx>
          <c:invertIfNegative val="0"/>
          <c:cat>
            <c:multiLvlStrRef>
              <c:f>Demographics!$A$100:$B$117</c:f>
              <c:multiLvlStrCache>
                <c:ptCount val="18"/>
                <c:lvl>
                  <c:pt idx="0">
                    <c:v>female</c:v>
                  </c:pt>
                  <c:pt idx="1">
                    <c:v>female</c:v>
                  </c:pt>
                  <c:pt idx="2">
                    <c:v>female</c:v>
                  </c:pt>
                  <c:pt idx="3">
                    <c:v>female</c:v>
                  </c:pt>
                  <c:pt idx="4">
                    <c:v>female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male</c:v>
                  </c:pt>
                  <c:pt idx="8">
                    <c:v>male</c:v>
                  </c:pt>
                  <c:pt idx="9">
                    <c:v>male</c:v>
                  </c:pt>
                  <c:pt idx="10">
                    <c:v>male</c:v>
                  </c:pt>
                  <c:pt idx="11">
                    <c:v>male</c:v>
                  </c:pt>
                  <c:pt idx="12">
                    <c:v>unknown</c:v>
                  </c:pt>
                  <c:pt idx="13">
                    <c:v>unknown</c:v>
                  </c:pt>
                  <c:pt idx="14">
                    <c:v>unknown</c:v>
                  </c:pt>
                  <c:pt idx="15">
                    <c:v>unknown</c:v>
                  </c:pt>
                  <c:pt idx="16">
                    <c:v>unknown</c:v>
                  </c:pt>
                  <c:pt idx="17">
                    <c:v>unknown</c:v>
                  </c:pt>
                </c:lvl>
                <c:lvl>
                  <c:pt idx="0">
                    <c:v>18-24</c:v>
                  </c:pt>
                  <c:pt idx="1">
                    <c:v>25-34</c:v>
                  </c:pt>
                  <c:pt idx="2">
                    <c:v>35-44</c:v>
                  </c:pt>
                  <c:pt idx="3">
                    <c:v>45-54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18-24</c:v>
                  </c:pt>
                  <c:pt idx="7">
                    <c:v>25-34</c:v>
                  </c:pt>
                  <c:pt idx="8">
                    <c:v>35-44</c:v>
                  </c:pt>
                  <c:pt idx="9">
                    <c:v>45-54</c:v>
                  </c:pt>
                  <c:pt idx="10">
                    <c:v>55-64</c:v>
                  </c:pt>
                  <c:pt idx="11">
                    <c:v>65+</c:v>
                  </c:pt>
                  <c:pt idx="12">
                    <c:v>18-24</c:v>
                  </c:pt>
                  <c:pt idx="13">
                    <c:v>25-34</c:v>
                  </c:pt>
                  <c:pt idx="14">
                    <c:v>35-44</c:v>
                  </c:pt>
                  <c:pt idx="15">
                    <c:v>45-54</c:v>
                  </c:pt>
                  <c:pt idx="16">
                    <c:v>55-64</c:v>
                  </c:pt>
                  <c:pt idx="17">
                    <c:v>65+</c:v>
                  </c:pt>
                </c:lvl>
              </c:multiLvlStrCache>
            </c:multiLvlStrRef>
          </c:cat>
          <c:val>
            <c:numRef>
              <c:f>Demographics!$D$100:$D$117</c:f>
              <c:numCache>
                <c:formatCode>#\ ##,000\ [$Kč]</c:formatCode>
                <c:ptCount val="1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Demographics!$H$99</c:f>
              <c:strCache>
                <c:ptCount val="1"/>
                <c:pt idx="0">
                  <c:v>CPC</c:v>
                </c:pt>
              </c:strCache>
            </c:strRef>
          </c:tx>
          <c:invertIfNegative val="0"/>
          <c:val>
            <c:numRef>
              <c:f>Demographics!$H$100:$H$117</c:f>
              <c:numCache>
                <c:formatCode>#\ ##,000\ [$Kč]</c:formatCode>
                <c:ptCount val="1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747032"/>
        <c:axId val="-2051240856"/>
      </c:barChart>
      <c:catAx>
        <c:axId val="-2051747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240856"/>
        <c:crosses val="autoZero"/>
        <c:auto val="1"/>
        <c:lblAlgn val="ctr"/>
        <c:lblOffset val="100"/>
        <c:noMultiLvlLbl val="0"/>
      </c:catAx>
      <c:valAx>
        <c:axId val="-2051240856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24085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'Facebook Ads Report'!$B$60</c:f>
              <c:strCache>
                <c:ptCount val="1"/>
                <c:pt idx="0">
                  <c:v>Reach</c:v>
                </c:pt>
              </c:strCache>
            </c:strRef>
          </c:tx>
          <c:invertIfNegative val="0"/>
          <c:cat>
            <c:strRef>
              <c:f>'Facebook Ads Report'!$A$61:$A$68</c:f>
              <c:strCache>
                <c:ptCount val="8"/>
                <c:pt idx="0">
                  <c:v>AdSet example</c:v>
                </c:pt>
                <c:pt idx="1">
                  <c:v>AdSet example</c:v>
                </c:pt>
                <c:pt idx="2">
                  <c:v>AdSet example</c:v>
                </c:pt>
                <c:pt idx="3">
                  <c:v>AdSet example</c:v>
                </c:pt>
                <c:pt idx="4">
                  <c:v>AdSet example</c:v>
                </c:pt>
                <c:pt idx="5">
                  <c:v>AdSet example</c:v>
                </c:pt>
                <c:pt idx="6">
                  <c:v>AdSet example</c:v>
                </c:pt>
                <c:pt idx="7">
                  <c:v>AdSet example</c:v>
                </c:pt>
              </c:strCache>
            </c:strRef>
          </c:cat>
          <c:val>
            <c:numRef>
              <c:f>'Facebook Ads Report'!$B$61:$B$68</c:f>
              <c:numCache>
                <c:formatCode>#,##0</c:formatCode>
                <c:ptCount val="8"/>
                <c:pt idx="0">
                  <c:v>7694.0</c:v>
                </c:pt>
                <c:pt idx="1">
                  <c:v>10516.0</c:v>
                </c:pt>
                <c:pt idx="2">
                  <c:v>37129.0</c:v>
                </c:pt>
                <c:pt idx="3">
                  <c:v>5707.0</c:v>
                </c:pt>
                <c:pt idx="4">
                  <c:v>167587.0</c:v>
                </c:pt>
                <c:pt idx="5">
                  <c:v>7331.0</c:v>
                </c:pt>
                <c:pt idx="6">
                  <c:v>3983.0</c:v>
                </c:pt>
                <c:pt idx="7">
                  <c:v>113683.0</c:v>
                </c:pt>
              </c:numCache>
            </c:numRef>
          </c:val>
        </c:ser>
        <c:ser>
          <c:idx val="1"/>
          <c:order val="1"/>
          <c:tx>
            <c:strRef>
              <c:f>'Facebook Ads Report'!$D$60</c:f>
              <c:strCache>
                <c:ptCount val="1"/>
                <c:pt idx="0">
                  <c:v>Impressions</c:v>
                </c:pt>
              </c:strCache>
            </c:strRef>
          </c:tx>
          <c:invertIfNegative val="0"/>
          <c:val>
            <c:numRef>
              <c:f>'Facebook Ads Report'!$D$61:$D$68</c:f>
              <c:numCache>
                <c:formatCode>#,##0</c:formatCode>
                <c:ptCount val="8"/>
                <c:pt idx="0">
                  <c:v>9183.0</c:v>
                </c:pt>
                <c:pt idx="1">
                  <c:v>10926.0</c:v>
                </c:pt>
                <c:pt idx="2">
                  <c:v>39223.0</c:v>
                </c:pt>
                <c:pt idx="3">
                  <c:v>5804.0</c:v>
                </c:pt>
                <c:pt idx="4">
                  <c:v>175653.0</c:v>
                </c:pt>
                <c:pt idx="5">
                  <c:v>9053.0</c:v>
                </c:pt>
                <c:pt idx="6">
                  <c:v>4647.0</c:v>
                </c:pt>
                <c:pt idx="7">
                  <c:v>153434.0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678632"/>
        <c:axId val="-2051665416"/>
      </c:barChart>
      <c:catAx>
        <c:axId val="-2051678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665416"/>
        <c:crosses val="autoZero"/>
        <c:auto val="1"/>
        <c:lblAlgn val="ctr"/>
        <c:lblOffset val="100"/>
        <c:noMultiLvlLbl val="0"/>
      </c:catAx>
      <c:valAx>
        <c:axId val="-2051665416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66541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Demographics!$H$138</c:f>
              <c:strCache>
                <c:ptCount val="1"/>
                <c:pt idx="0">
                  <c:v>Cost Per Video View (3s)</c:v>
                </c:pt>
              </c:strCache>
            </c:strRef>
          </c:tx>
          <c:invertIfNegative val="0"/>
          <c:cat>
            <c:multiLvlStrRef>
              <c:f>Demographics!$A$139:$B$156</c:f>
              <c:multiLvlStrCache>
                <c:ptCount val="18"/>
                <c:lvl>
                  <c:pt idx="0">
                    <c:v>female</c:v>
                  </c:pt>
                  <c:pt idx="1">
                    <c:v>female</c:v>
                  </c:pt>
                  <c:pt idx="2">
                    <c:v>female</c:v>
                  </c:pt>
                  <c:pt idx="3">
                    <c:v>female</c:v>
                  </c:pt>
                  <c:pt idx="4">
                    <c:v>female</c:v>
                  </c:pt>
                  <c:pt idx="5">
                    <c:v>female</c:v>
                  </c:pt>
                  <c:pt idx="6">
                    <c:v>male</c:v>
                  </c:pt>
                  <c:pt idx="7">
                    <c:v>male</c:v>
                  </c:pt>
                  <c:pt idx="8">
                    <c:v>male</c:v>
                  </c:pt>
                  <c:pt idx="9">
                    <c:v>male</c:v>
                  </c:pt>
                  <c:pt idx="10">
                    <c:v>male</c:v>
                  </c:pt>
                  <c:pt idx="11">
                    <c:v>male</c:v>
                  </c:pt>
                  <c:pt idx="12">
                    <c:v>unknown</c:v>
                  </c:pt>
                  <c:pt idx="13">
                    <c:v>unknown</c:v>
                  </c:pt>
                  <c:pt idx="14">
                    <c:v>unknown</c:v>
                  </c:pt>
                  <c:pt idx="15">
                    <c:v>unknown</c:v>
                  </c:pt>
                  <c:pt idx="16">
                    <c:v>unknown</c:v>
                  </c:pt>
                  <c:pt idx="17">
                    <c:v>unknown</c:v>
                  </c:pt>
                </c:lvl>
                <c:lvl>
                  <c:pt idx="0">
                    <c:v>18-24</c:v>
                  </c:pt>
                  <c:pt idx="1">
                    <c:v>25-34</c:v>
                  </c:pt>
                  <c:pt idx="2">
                    <c:v>35-44</c:v>
                  </c:pt>
                  <c:pt idx="3">
                    <c:v>45-54</c:v>
                  </c:pt>
                  <c:pt idx="4">
                    <c:v>55-64</c:v>
                  </c:pt>
                  <c:pt idx="5">
                    <c:v>65+</c:v>
                  </c:pt>
                  <c:pt idx="6">
                    <c:v>18-24</c:v>
                  </c:pt>
                  <c:pt idx="7">
                    <c:v>25-34</c:v>
                  </c:pt>
                  <c:pt idx="8">
                    <c:v>35-44</c:v>
                  </c:pt>
                  <c:pt idx="9">
                    <c:v>45-54</c:v>
                  </c:pt>
                  <c:pt idx="10">
                    <c:v>55-64</c:v>
                  </c:pt>
                  <c:pt idx="11">
                    <c:v>65+</c:v>
                  </c:pt>
                  <c:pt idx="12">
                    <c:v>18-24</c:v>
                  </c:pt>
                  <c:pt idx="13">
                    <c:v>25-34</c:v>
                  </c:pt>
                  <c:pt idx="14">
                    <c:v>35-44</c:v>
                  </c:pt>
                  <c:pt idx="15">
                    <c:v>45-54</c:v>
                  </c:pt>
                  <c:pt idx="16">
                    <c:v>55-64</c:v>
                  </c:pt>
                  <c:pt idx="17">
                    <c:v>65+</c:v>
                  </c:pt>
                </c:lvl>
              </c:multiLvlStrCache>
            </c:multiLvlStrRef>
          </c:cat>
          <c:val>
            <c:numRef>
              <c:f>Demographics!$H$139:$H$156</c:f>
              <c:numCache>
                <c:formatCode>#\ ##,000\ [$Kč]</c:formatCode>
                <c:ptCount val="18"/>
                <c:pt idx="0">
                  <c:v>1.949442060085837</c:v>
                </c:pt>
                <c:pt idx="1">
                  <c:v>3.957092457420917</c:v>
                </c:pt>
                <c:pt idx="2">
                  <c:v>4.191491094147582</c:v>
                </c:pt>
                <c:pt idx="3">
                  <c:v>2.808729184925504</c:v>
                </c:pt>
                <c:pt idx="4">
                  <c:v>2.53882352941176</c:v>
                </c:pt>
                <c:pt idx="5">
                  <c:v>2.185418181818177</c:v>
                </c:pt>
                <c:pt idx="6">
                  <c:v>1.266982524271841</c:v>
                </c:pt>
                <c:pt idx="7">
                  <c:v>2.099580303836362</c:v>
                </c:pt>
                <c:pt idx="8">
                  <c:v>2.770903765690372</c:v>
                </c:pt>
                <c:pt idx="9">
                  <c:v>2.589009900990089</c:v>
                </c:pt>
                <c:pt idx="10">
                  <c:v>2.140896614821592</c:v>
                </c:pt>
                <c:pt idx="11">
                  <c:v>1.479907120743034</c:v>
                </c:pt>
                <c:pt idx="12">
                  <c:v>1.460952380952376</c:v>
                </c:pt>
                <c:pt idx="13">
                  <c:v>2.707937336814614</c:v>
                </c:pt>
                <c:pt idx="14">
                  <c:v>2.627368421052631</c:v>
                </c:pt>
                <c:pt idx="15">
                  <c:v>2.229782608695638</c:v>
                </c:pt>
                <c:pt idx="16">
                  <c:v>2.218024691358021</c:v>
                </c:pt>
                <c:pt idx="17">
                  <c:v>2.214285714285708</c:v>
                </c:pt>
              </c:numCache>
            </c:numRef>
          </c:val>
        </c:ser>
        <c:ser>
          <c:idx val="1"/>
          <c:order val="1"/>
          <c:tx>
            <c:strRef>
              <c:f>Demographics!$I$138</c:f>
              <c:strCache>
                <c:ptCount val="1"/>
                <c:pt idx="0">
                  <c:v>Cost Per 10 sec video view</c:v>
                </c:pt>
              </c:strCache>
            </c:strRef>
          </c:tx>
          <c:invertIfNegative val="0"/>
          <c:val>
            <c:numRef>
              <c:f>Demographics!$I$139:$I$156</c:f>
              <c:numCache>
                <c:formatCode>#\ ##,000\ [$Kč]</c:formatCode>
                <c:ptCount val="18"/>
                <c:pt idx="0">
                  <c:v>4.991428571428571</c:v>
                </c:pt>
                <c:pt idx="1">
                  <c:v>10.00839999999998</c:v>
                </c:pt>
                <c:pt idx="2">
                  <c:v>12.14790560471976</c:v>
                </c:pt>
                <c:pt idx="3">
                  <c:v>8.902111111111111</c:v>
                </c:pt>
                <c:pt idx="4">
                  <c:v>8.023333333333315</c:v>
                </c:pt>
                <c:pt idx="5">
                  <c:v>6.604285714285699</c:v>
                </c:pt>
                <c:pt idx="6">
                  <c:v>2.354447919172474</c:v>
                </c:pt>
                <c:pt idx="7">
                  <c:v>4.032538601271542</c:v>
                </c:pt>
                <c:pt idx="8">
                  <c:v>5.660222222222214</c:v>
                </c:pt>
                <c:pt idx="9">
                  <c:v>6.158278985507222</c:v>
                </c:pt>
                <c:pt idx="10">
                  <c:v>5.82089552238806</c:v>
                </c:pt>
                <c:pt idx="11">
                  <c:v>3.202747068676717</c:v>
                </c:pt>
                <c:pt idx="12">
                  <c:v>2.840740740740731</c:v>
                </c:pt>
                <c:pt idx="13">
                  <c:v>5.458631578947354</c:v>
                </c:pt>
                <c:pt idx="14">
                  <c:v>6.24</c:v>
                </c:pt>
                <c:pt idx="15">
                  <c:v>6.1235820895522</c:v>
                </c:pt>
                <c:pt idx="16">
                  <c:v>8.166363636363625</c:v>
                </c:pt>
                <c:pt idx="17">
                  <c:v>5.445945945945931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3461448"/>
        <c:axId val="-2051280584"/>
      </c:barChart>
      <c:catAx>
        <c:axId val="-2053461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280584"/>
        <c:crosses val="autoZero"/>
        <c:auto val="1"/>
        <c:lblAlgn val="ctr"/>
        <c:lblOffset val="100"/>
        <c:noMultiLvlLbl val="0"/>
      </c:catAx>
      <c:valAx>
        <c:axId val="-2051280584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28058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Demographics!$C$138</c:f>
              <c:strCache>
                <c:ptCount val="1"/>
                <c:pt idx="0">
                  <c:v>3 sec video view</c:v>
                </c:pt>
              </c:strCache>
            </c:strRef>
          </c:tx>
          <c:invertIfNegative val="0"/>
          <c:cat>
            <c:strRef>
              <c:f>Demographics!$A$178:$B$178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Demographics!$C$157</c:f>
              <c:numCache>
                <c:formatCode>#,##0</c:formatCode>
                <c:ptCount val="1"/>
                <c:pt idx="0">
                  <c:v>46844.0</c:v>
                </c:pt>
              </c:numCache>
            </c:numRef>
          </c:val>
        </c:ser>
        <c:ser>
          <c:idx val="1"/>
          <c:order val="1"/>
          <c:tx>
            <c:strRef>
              <c:f>Demographics!$C$159</c:f>
              <c:strCache>
                <c:ptCount val="1"/>
                <c:pt idx="0">
                  <c:v>25% watched</c:v>
                </c:pt>
              </c:strCache>
            </c:strRef>
          </c:tx>
          <c:invertIfNegative val="0"/>
          <c:val>
            <c:numRef>
              <c:f>Demographics!$C$178</c:f>
              <c:numCache>
                <c:formatCode>#,##0</c:formatCode>
                <c:ptCount val="1"/>
                <c:pt idx="0">
                  <c:v>32746.0</c:v>
                </c:pt>
              </c:numCache>
            </c:numRef>
          </c:val>
        </c:ser>
        <c:ser>
          <c:idx val="2"/>
          <c:order val="2"/>
          <c:tx>
            <c:strRef>
              <c:f>Demographics!$D$159</c:f>
              <c:strCache>
                <c:ptCount val="1"/>
                <c:pt idx="0">
                  <c:v>50% watched</c:v>
                </c:pt>
              </c:strCache>
            </c:strRef>
          </c:tx>
          <c:invertIfNegative val="0"/>
          <c:val>
            <c:numRef>
              <c:f>Demographics!$D$178</c:f>
              <c:numCache>
                <c:formatCode>#,##0</c:formatCode>
                <c:ptCount val="1"/>
                <c:pt idx="0">
                  <c:v>20153.0</c:v>
                </c:pt>
              </c:numCache>
            </c:numRef>
          </c:val>
        </c:ser>
        <c:ser>
          <c:idx val="3"/>
          <c:order val="3"/>
          <c:tx>
            <c:strRef>
              <c:f>Demographics!$E$159</c:f>
              <c:strCache>
                <c:ptCount val="1"/>
                <c:pt idx="0">
                  <c:v>75% watched</c:v>
                </c:pt>
              </c:strCache>
            </c:strRef>
          </c:tx>
          <c:invertIfNegative val="0"/>
          <c:val>
            <c:numRef>
              <c:f>Demographics!$E$178</c:f>
              <c:numCache>
                <c:formatCode>#,##0</c:formatCode>
                <c:ptCount val="1"/>
                <c:pt idx="0">
                  <c:v>14261.0</c:v>
                </c:pt>
              </c:numCache>
            </c:numRef>
          </c:val>
        </c:ser>
        <c:ser>
          <c:idx val="4"/>
          <c:order val="4"/>
          <c:tx>
            <c:strRef>
              <c:f>Demographics!$F$159</c:f>
              <c:strCache>
                <c:ptCount val="1"/>
                <c:pt idx="0">
                  <c:v>100% watched</c:v>
                </c:pt>
              </c:strCache>
            </c:strRef>
          </c:tx>
          <c:invertIfNegative val="0"/>
          <c:val>
            <c:numRef>
              <c:f>Demographics!$F$178</c:f>
              <c:numCache>
                <c:formatCode>#,##0</c:formatCode>
                <c:ptCount val="1"/>
                <c:pt idx="0">
                  <c:v>8310.0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124024"/>
        <c:axId val="-2051431432"/>
      </c:barChart>
      <c:catAx>
        <c:axId val="-20511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1431432"/>
        <c:crosses val="autoZero"/>
        <c:auto val="1"/>
        <c:lblAlgn val="ctr"/>
        <c:lblOffset val="100"/>
        <c:noMultiLvlLbl val="0"/>
      </c:catAx>
      <c:valAx>
        <c:axId val="-2051431432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43143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'Facebook Ads Report'!$F$60</c:f>
              <c:strCache>
                <c:ptCount val="1"/>
                <c:pt idx="0">
                  <c:v>CPM</c:v>
                </c:pt>
              </c:strCache>
            </c:strRef>
          </c:tx>
          <c:invertIfNegative val="0"/>
          <c:cat>
            <c:strRef>
              <c:f>'Facebook Ads Report'!$A$61:$A$68</c:f>
              <c:strCache>
                <c:ptCount val="8"/>
                <c:pt idx="0">
                  <c:v>AdSet example</c:v>
                </c:pt>
                <c:pt idx="1">
                  <c:v>AdSet example</c:v>
                </c:pt>
                <c:pt idx="2">
                  <c:v>AdSet example</c:v>
                </c:pt>
                <c:pt idx="3">
                  <c:v>AdSet example</c:v>
                </c:pt>
                <c:pt idx="4">
                  <c:v>AdSet example</c:v>
                </c:pt>
                <c:pt idx="5">
                  <c:v>AdSet example</c:v>
                </c:pt>
                <c:pt idx="6">
                  <c:v>AdSet example</c:v>
                </c:pt>
                <c:pt idx="7">
                  <c:v>AdSet example</c:v>
                </c:pt>
              </c:strCache>
            </c:strRef>
          </c:cat>
          <c:val>
            <c:numRef>
              <c:f>'Facebook Ads Report'!$F$61:$F$68</c:f>
              <c:numCache>
                <c:formatCode>#\ ##,000\ [$Kč]</c:formatCode>
                <c:ptCount val="8"/>
                <c:pt idx="0">
                  <c:v>207.0543395404552</c:v>
                </c:pt>
                <c:pt idx="1">
                  <c:v>193.0129965220575</c:v>
                </c:pt>
                <c:pt idx="2">
                  <c:v>270.6060219769006</c:v>
                </c:pt>
                <c:pt idx="3">
                  <c:v>235.809786354238</c:v>
                </c:pt>
                <c:pt idx="4">
                  <c:v>132.810142724576</c:v>
                </c:pt>
                <c:pt idx="5">
                  <c:v>303.4817187672595</c:v>
                </c:pt>
                <c:pt idx="6">
                  <c:v>102.6683882074457</c:v>
                </c:pt>
                <c:pt idx="7">
                  <c:v>94.17234771954031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3509480"/>
        <c:axId val="-2051690760"/>
      </c:barChart>
      <c:catAx>
        <c:axId val="-205350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690760"/>
        <c:crosses val="autoZero"/>
        <c:auto val="1"/>
        <c:lblAlgn val="ctr"/>
        <c:lblOffset val="100"/>
        <c:noMultiLvlLbl val="0"/>
      </c:catAx>
      <c:valAx>
        <c:axId val="-2051690760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69076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'Facebook Ads Report'!$B$89</c:f>
              <c:strCache>
                <c:ptCount val="1"/>
                <c:pt idx="0">
                  <c:v>Conversions (Actions)</c:v>
                </c:pt>
              </c:strCache>
            </c:strRef>
          </c:tx>
          <c:invertIfNegative val="0"/>
          <c:cat>
            <c:strRef>
              <c:f>'Facebook Ads Report'!$A$90:$A$95</c:f>
              <c:strCache>
                <c:ptCount val="6"/>
                <c:pt idx="0">
                  <c:v>AdSet example</c:v>
                </c:pt>
                <c:pt idx="1">
                  <c:v>AdSet example</c:v>
                </c:pt>
                <c:pt idx="2">
                  <c:v>AdSet example</c:v>
                </c:pt>
                <c:pt idx="3">
                  <c:v>AdSet example</c:v>
                </c:pt>
                <c:pt idx="4">
                  <c:v>AdSet example</c:v>
                </c:pt>
                <c:pt idx="5">
                  <c:v>AdSet example</c:v>
                </c:pt>
              </c:strCache>
            </c:strRef>
          </c:cat>
          <c:val>
            <c:numRef>
              <c:f>'Facebook Ads Report'!$B$90:$B$95</c:f>
              <c:numCache>
                <c:formatCode>#,##0</c:formatCode>
                <c:ptCount val="6"/>
                <c:pt idx="0">
                  <c:v>350.0</c:v>
                </c:pt>
                <c:pt idx="1">
                  <c:v>2801.0</c:v>
                </c:pt>
                <c:pt idx="2">
                  <c:v>2177.0</c:v>
                </c:pt>
                <c:pt idx="3">
                  <c:v>1302.0</c:v>
                </c:pt>
                <c:pt idx="4">
                  <c:v>27180.0</c:v>
                </c:pt>
                <c:pt idx="5">
                  <c:v>44.0</c:v>
                </c:pt>
              </c:numCache>
            </c:numRef>
          </c:val>
        </c:ser>
        <c:ser>
          <c:idx val="1"/>
          <c:order val="1"/>
          <c:tx>
            <c:strRef>
              <c:f>'Facebook Ads Report'!$F$89</c:f>
              <c:strCache>
                <c:ptCount val="1"/>
                <c:pt idx="0">
                  <c:v>Clicks</c:v>
                </c:pt>
              </c:strCache>
            </c:strRef>
          </c:tx>
          <c:invertIfNegative val="0"/>
          <c:val>
            <c:numRef>
              <c:f>'Facebook Ads Report'!$F$90:$F$95</c:f>
              <c:numCache>
                <c:formatCode>#,##0</c:formatCode>
                <c:ptCount val="6"/>
                <c:pt idx="0">
                  <c:v>70.0</c:v>
                </c:pt>
                <c:pt idx="1">
                  <c:v>96.0</c:v>
                </c:pt>
                <c:pt idx="2">
                  <c:v>1733.0</c:v>
                </c:pt>
                <c:pt idx="3">
                  <c:v>70.0</c:v>
                </c:pt>
                <c:pt idx="4">
                  <c:v>4573.0</c:v>
                </c:pt>
                <c:pt idx="5">
                  <c:v>46.0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694136"/>
        <c:axId val="-2051592408"/>
      </c:barChart>
      <c:catAx>
        <c:axId val="-2051694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1592408"/>
        <c:crosses val="autoZero"/>
        <c:auto val="1"/>
        <c:lblAlgn val="ctr"/>
        <c:lblOffset val="100"/>
        <c:noMultiLvlLbl val="0"/>
      </c:catAx>
      <c:valAx>
        <c:axId val="-2051592408"/>
        <c:scaling>
          <c:orientation val="minMax"/>
        </c:scaling>
        <c:delete val="0"/>
        <c:axPos val="b"/>
        <c:majorGridlines>
          <c:spPr>
            <a:effectLst/>
          </c:spPr>
        </c:majorGridlines>
        <c:title>
          <c:tx>
            <c:rich>
              <a:bodyPr rot="0"/>
              <a:lstStyle/>
              <a:p>
                <a:r>
                  <a:rPr lang="en-US"/>
                  <a:t>Actions &amp; Clicks</a:t>
                </a:r>
              </a:p>
            </c:rich>
          </c:tx>
          <c:layout/>
          <c:overlay val="0"/>
        </c:title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1592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'Facebook Ads Report'!$C$89</c:f>
              <c:strCache>
                <c:ptCount val="1"/>
                <c:pt idx="0">
                  <c:v>CPA</c:v>
                </c:pt>
              </c:strCache>
            </c:strRef>
          </c:tx>
          <c:invertIfNegative val="0"/>
          <c:cat>
            <c:strRef>
              <c:f>'Facebook Ads Report'!$A$90:$A$95</c:f>
              <c:strCache>
                <c:ptCount val="6"/>
                <c:pt idx="0">
                  <c:v>AdSet example</c:v>
                </c:pt>
                <c:pt idx="1">
                  <c:v>AdSet example</c:v>
                </c:pt>
                <c:pt idx="2">
                  <c:v>AdSet example</c:v>
                </c:pt>
                <c:pt idx="3">
                  <c:v>AdSet example</c:v>
                </c:pt>
                <c:pt idx="4">
                  <c:v>AdSet example</c:v>
                </c:pt>
                <c:pt idx="5">
                  <c:v>AdSet example</c:v>
                </c:pt>
              </c:strCache>
            </c:strRef>
          </c:cat>
          <c:val>
            <c:numRef>
              <c:f>'Facebook Ads Report'!$C$90:$C$95</c:f>
              <c:numCache>
                <c:formatCode>#\ ##,000\ [$Kč]</c:formatCode>
                <c:ptCount val="6"/>
                <c:pt idx="0">
                  <c:v>5.432514285714285</c:v>
                </c:pt>
                <c:pt idx="1">
                  <c:v>0.752895394501964</c:v>
                </c:pt>
                <c:pt idx="2">
                  <c:v>4.875507579237471</c:v>
                </c:pt>
                <c:pt idx="3">
                  <c:v>1.051182795698923</c:v>
                </c:pt>
                <c:pt idx="4">
                  <c:v>0.858296541574685</c:v>
                </c:pt>
                <c:pt idx="5">
                  <c:v>62.44136363636364</c:v>
                </c:pt>
              </c:numCache>
            </c:numRef>
          </c:val>
        </c:ser>
        <c:ser>
          <c:idx val="1"/>
          <c:order val="1"/>
          <c:tx>
            <c:strRef>
              <c:f>'Facebook Ads Report'!$G$89</c:f>
              <c:strCache>
                <c:ptCount val="1"/>
                <c:pt idx="0">
                  <c:v>CPC</c:v>
                </c:pt>
              </c:strCache>
            </c:strRef>
          </c:tx>
          <c:invertIfNegative val="0"/>
          <c:val>
            <c:numRef>
              <c:f>'Facebook Ads Report'!$G$90:$G$95</c:f>
              <c:numCache>
                <c:formatCode>#\ ##,000\ [$Kč]</c:formatCode>
                <c:ptCount val="6"/>
                <c:pt idx="0">
                  <c:v>27.16257142857143</c:v>
                </c:pt>
                <c:pt idx="1">
                  <c:v>21.96729166666667</c:v>
                </c:pt>
                <c:pt idx="2">
                  <c:v>6.124627813040955</c:v>
                </c:pt>
                <c:pt idx="3">
                  <c:v>19.55199999999996</c:v>
                </c:pt>
                <c:pt idx="4">
                  <c:v>5.101355783949255</c:v>
                </c:pt>
                <c:pt idx="5">
                  <c:v>59.72652173913043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4071016"/>
        <c:axId val="-2053905096"/>
      </c:barChart>
      <c:catAx>
        <c:axId val="-2054071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3905096"/>
        <c:crosses val="autoZero"/>
        <c:auto val="1"/>
        <c:lblAlgn val="ctr"/>
        <c:lblOffset val="100"/>
        <c:noMultiLvlLbl val="0"/>
      </c:catAx>
      <c:valAx>
        <c:axId val="-2053905096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390509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'Facebook Ads Report'!$G$116</c:f>
              <c:strCache>
                <c:ptCount val="1"/>
                <c:pt idx="0">
                  <c:v>Cost Per Video View (3s)</c:v>
                </c:pt>
              </c:strCache>
            </c:strRef>
          </c:tx>
          <c:invertIfNegative val="0"/>
          <c:cat>
            <c:strRef>
              <c:f>'Facebook Ads Report'!$A$117:$A$120</c:f>
              <c:strCache>
                <c:ptCount val="4"/>
                <c:pt idx="0">
                  <c:v>AdSet example</c:v>
                </c:pt>
                <c:pt idx="1">
                  <c:v>AdSet example</c:v>
                </c:pt>
                <c:pt idx="2">
                  <c:v>AdSet example</c:v>
                </c:pt>
                <c:pt idx="3">
                  <c:v>AdSet example</c:v>
                </c:pt>
              </c:strCache>
            </c:strRef>
          </c:cat>
          <c:val>
            <c:numRef>
              <c:f>'Facebook Ads Report'!$G$117:$G$120</c:f>
              <c:numCache>
                <c:formatCode>#\ ##,000\ [$Kč]</c:formatCode>
                <c:ptCount val="4"/>
                <c:pt idx="0">
                  <c:v>6.625017421602787</c:v>
                </c:pt>
                <c:pt idx="1">
                  <c:v>0.818339154055103</c:v>
                </c:pt>
                <c:pt idx="2">
                  <c:v>11.47457297297295</c:v>
                </c:pt>
                <c:pt idx="3">
                  <c:v>1.109108589951376</c:v>
                </c:pt>
              </c:numCache>
            </c:numRef>
          </c:val>
        </c:ser>
        <c:ser>
          <c:idx val="1"/>
          <c:order val="1"/>
          <c:tx>
            <c:strRef>
              <c:f>'Facebook Ads Report'!$H$116</c:f>
              <c:strCache>
                <c:ptCount val="1"/>
                <c:pt idx="0">
                  <c:v>Cost Per 10 sec video view</c:v>
                </c:pt>
              </c:strCache>
            </c:strRef>
          </c:tx>
          <c:invertIfNegative val="0"/>
          <c:val>
            <c:numRef>
              <c:f>'Facebook Ads Report'!$H$117:$H$120</c:f>
              <c:numCache>
                <c:formatCode>#\ ##,000\ [$Kč]</c:formatCode>
                <c:ptCount val="4"/>
                <c:pt idx="0">
                  <c:v>31.68966666666666</c:v>
                </c:pt>
                <c:pt idx="1">
                  <c:v>1.898163816381638</c:v>
                </c:pt>
                <c:pt idx="2">
                  <c:v>31.1260410557184</c:v>
                </c:pt>
                <c:pt idx="3">
                  <c:v>2.392727272727268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1237096"/>
        <c:axId val="-2053278584"/>
      </c:barChart>
      <c:catAx>
        <c:axId val="-2051237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53278584"/>
        <c:crosses val="autoZero"/>
        <c:auto val="1"/>
        <c:lblAlgn val="ctr"/>
        <c:lblOffset val="100"/>
        <c:noMultiLvlLbl val="0"/>
      </c:catAx>
      <c:valAx>
        <c:axId val="-2053278584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327858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'Facebook Ads Report'!$B$116</c:f>
              <c:strCache>
                <c:ptCount val="1"/>
                <c:pt idx="0">
                  <c:v>3 sec video view</c:v>
                </c:pt>
              </c:strCache>
            </c:strRef>
          </c:tx>
          <c:invertIfNegative val="0"/>
          <c:cat>
            <c:strRef>
              <c:f>'Facebook Ads Report'!$A$128:$A$128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'Facebook Ads Report'!$B$121</c:f>
              <c:numCache>
                <c:formatCode>#,##0</c:formatCode>
                <c:ptCount val="1"/>
                <c:pt idx="0">
                  <c:v>5023.0</c:v>
                </c:pt>
              </c:numCache>
            </c:numRef>
          </c:val>
        </c:ser>
        <c:ser>
          <c:idx val="1"/>
          <c:order val="1"/>
          <c:tx>
            <c:strRef>
              <c:f>'Facebook Ads Report'!$B$123</c:f>
              <c:strCache>
                <c:ptCount val="1"/>
                <c:pt idx="0">
                  <c:v>25% watched</c:v>
                </c:pt>
              </c:strCache>
            </c:strRef>
          </c:tx>
          <c:invertIfNegative val="0"/>
          <c:val>
            <c:numRef>
              <c:f>'Facebook Ads Report'!$B$128</c:f>
              <c:numCache>
                <c:formatCode>#,##0</c:formatCode>
                <c:ptCount val="1"/>
                <c:pt idx="0">
                  <c:v>3877.0</c:v>
                </c:pt>
              </c:numCache>
            </c:numRef>
          </c:val>
        </c:ser>
        <c:ser>
          <c:idx val="2"/>
          <c:order val="2"/>
          <c:tx>
            <c:strRef>
              <c:f>'Facebook Ads Report'!$C$123</c:f>
              <c:strCache>
                <c:ptCount val="1"/>
                <c:pt idx="0">
                  <c:v>50% watched</c:v>
                </c:pt>
              </c:strCache>
            </c:strRef>
          </c:tx>
          <c:invertIfNegative val="0"/>
          <c:val>
            <c:numRef>
              <c:f>'Facebook Ads Report'!$C$128</c:f>
              <c:numCache>
                <c:formatCode>#,##0</c:formatCode>
                <c:ptCount val="1"/>
                <c:pt idx="0">
                  <c:v>2155.0</c:v>
                </c:pt>
              </c:numCache>
            </c:numRef>
          </c:val>
        </c:ser>
        <c:ser>
          <c:idx val="3"/>
          <c:order val="3"/>
          <c:tx>
            <c:strRef>
              <c:f>'Facebook Ads Report'!$D$123</c:f>
              <c:strCache>
                <c:ptCount val="1"/>
                <c:pt idx="0">
                  <c:v>75% watched</c:v>
                </c:pt>
              </c:strCache>
            </c:strRef>
          </c:tx>
          <c:invertIfNegative val="0"/>
          <c:val>
            <c:numRef>
              <c:f>'Facebook Ads Report'!$D$128</c:f>
              <c:numCache>
                <c:formatCode>#,##0</c:formatCode>
                <c:ptCount val="1"/>
                <c:pt idx="0">
                  <c:v>1456.0</c:v>
                </c:pt>
              </c:numCache>
            </c:numRef>
          </c:val>
        </c:ser>
        <c:ser>
          <c:idx val="4"/>
          <c:order val="4"/>
          <c:tx>
            <c:strRef>
              <c:f>'Facebook Ads Report'!$E$123</c:f>
              <c:strCache>
                <c:ptCount val="1"/>
                <c:pt idx="0">
                  <c:v>100% watched</c:v>
                </c:pt>
              </c:strCache>
            </c:strRef>
          </c:tx>
          <c:invertIfNegative val="0"/>
          <c:val>
            <c:numRef>
              <c:f>'Facebook Ads Report'!$E$128</c:f>
              <c:numCache>
                <c:formatCode>#,##0</c:formatCode>
                <c:ptCount val="1"/>
                <c:pt idx="0">
                  <c:v>932.0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0306664"/>
        <c:axId val="-2054408024"/>
      </c:barChart>
      <c:catAx>
        <c:axId val="-207030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054408024"/>
        <c:crosses val="autoZero"/>
        <c:auto val="1"/>
        <c:lblAlgn val="ctr"/>
        <c:lblOffset val="100"/>
        <c:noMultiLvlLbl val="0"/>
      </c:catAx>
      <c:valAx>
        <c:axId val="-2054408024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5440802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'per Ad'!$B$24</c:f>
              <c:strCache>
                <c:ptCount val="1"/>
                <c:pt idx="0">
                  <c:v>Reach</c:v>
                </c:pt>
              </c:strCache>
            </c:strRef>
          </c:tx>
          <c:invertIfNegative val="0"/>
          <c:cat>
            <c:strRef>
              <c:f>'per Ad'!$A$25:$A$47</c:f>
              <c:strCache>
                <c:ptCount val="23"/>
                <c:pt idx="0">
                  <c:v>Ad example</c:v>
                </c:pt>
                <c:pt idx="1">
                  <c:v>Ad example</c:v>
                </c:pt>
                <c:pt idx="2">
                  <c:v>Ad example</c:v>
                </c:pt>
                <c:pt idx="3">
                  <c:v>Ad example</c:v>
                </c:pt>
                <c:pt idx="4">
                  <c:v>Ad example</c:v>
                </c:pt>
                <c:pt idx="5">
                  <c:v>Ad example</c:v>
                </c:pt>
                <c:pt idx="6">
                  <c:v>Ad example</c:v>
                </c:pt>
                <c:pt idx="7">
                  <c:v>Ad example</c:v>
                </c:pt>
                <c:pt idx="8">
                  <c:v>Ad example</c:v>
                </c:pt>
                <c:pt idx="9">
                  <c:v>Ad example</c:v>
                </c:pt>
                <c:pt idx="10">
                  <c:v>Ad example</c:v>
                </c:pt>
                <c:pt idx="11">
                  <c:v>Ad example</c:v>
                </c:pt>
                <c:pt idx="12">
                  <c:v>Ad example</c:v>
                </c:pt>
                <c:pt idx="13">
                  <c:v>Ad example</c:v>
                </c:pt>
                <c:pt idx="14">
                  <c:v>Ad example</c:v>
                </c:pt>
                <c:pt idx="15">
                  <c:v>Ad example</c:v>
                </c:pt>
                <c:pt idx="16">
                  <c:v>Ad example</c:v>
                </c:pt>
                <c:pt idx="17">
                  <c:v>Ad example</c:v>
                </c:pt>
                <c:pt idx="18">
                  <c:v>Ad example</c:v>
                </c:pt>
                <c:pt idx="19">
                  <c:v>Ad example</c:v>
                </c:pt>
                <c:pt idx="20">
                  <c:v>Ad example</c:v>
                </c:pt>
                <c:pt idx="21">
                  <c:v>Ad example</c:v>
                </c:pt>
                <c:pt idx="22">
                  <c:v>Ad example</c:v>
                </c:pt>
              </c:strCache>
            </c:strRef>
          </c:cat>
          <c:val>
            <c:numRef>
              <c:f>'per Ad'!$B$25:$B$47</c:f>
              <c:numCache>
                <c:formatCode>#,##0</c:formatCode>
                <c:ptCount val="23"/>
                <c:pt idx="0">
                  <c:v>447.0</c:v>
                </c:pt>
                <c:pt idx="1">
                  <c:v>218.0</c:v>
                </c:pt>
                <c:pt idx="2">
                  <c:v>484.0</c:v>
                </c:pt>
                <c:pt idx="3">
                  <c:v>442.0</c:v>
                </c:pt>
                <c:pt idx="4">
                  <c:v>1834.0</c:v>
                </c:pt>
                <c:pt idx="5">
                  <c:v>1323.0</c:v>
                </c:pt>
                <c:pt idx="6">
                  <c:v>446.0</c:v>
                </c:pt>
                <c:pt idx="7">
                  <c:v>1182.0</c:v>
                </c:pt>
                <c:pt idx="8">
                  <c:v>1342.0</c:v>
                </c:pt>
                <c:pt idx="9">
                  <c:v>621.0</c:v>
                </c:pt>
                <c:pt idx="10">
                  <c:v>641.0</c:v>
                </c:pt>
                <c:pt idx="11">
                  <c:v>51.0</c:v>
                </c:pt>
                <c:pt idx="12">
                  <c:v>590.0</c:v>
                </c:pt>
                <c:pt idx="13">
                  <c:v>28.0</c:v>
                </c:pt>
                <c:pt idx="14">
                  <c:v>36.0</c:v>
                </c:pt>
                <c:pt idx="15">
                  <c:v>75.0</c:v>
                </c:pt>
                <c:pt idx="16">
                  <c:v>90.0</c:v>
                </c:pt>
                <c:pt idx="17">
                  <c:v>136.0</c:v>
                </c:pt>
                <c:pt idx="18">
                  <c:v>199.0</c:v>
                </c:pt>
                <c:pt idx="19">
                  <c:v>1094.0</c:v>
                </c:pt>
                <c:pt idx="20">
                  <c:v>1130.0</c:v>
                </c:pt>
                <c:pt idx="21">
                  <c:v>141.0</c:v>
                </c:pt>
                <c:pt idx="22">
                  <c:v>71.0</c:v>
                </c:pt>
              </c:numCache>
            </c:numRef>
          </c:val>
        </c:ser>
        <c:ser>
          <c:idx val="1"/>
          <c:order val="1"/>
          <c:tx>
            <c:strRef>
              <c:f>'per Ad'!$D$24</c:f>
              <c:strCache>
                <c:ptCount val="1"/>
                <c:pt idx="0">
                  <c:v>Impressions</c:v>
                </c:pt>
              </c:strCache>
            </c:strRef>
          </c:tx>
          <c:invertIfNegative val="0"/>
          <c:val>
            <c:numRef>
              <c:f>'per Ad'!$D$25:$D$47</c:f>
              <c:numCache>
                <c:formatCode>#,##0</c:formatCode>
                <c:ptCount val="23"/>
                <c:pt idx="0">
                  <c:v>531.0</c:v>
                </c:pt>
                <c:pt idx="1">
                  <c:v>221.0</c:v>
                </c:pt>
                <c:pt idx="2">
                  <c:v>551.0</c:v>
                </c:pt>
                <c:pt idx="3">
                  <c:v>475.0</c:v>
                </c:pt>
                <c:pt idx="4">
                  <c:v>2023.0</c:v>
                </c:pt>
                <c:pt idx="5">
                  <c:v>1414.0</c:v>
                </c:pt>
                <c:pt idx="6">
                  <c:v>533.0</c:v>
                </c:pt>
                <c:pt idx="7">
                  <c:v>1331.0</c:v>
                </c:pt>
                <c:pt idx="8">
                  <c:v>1464.0</c:v>
                </c:pt>
                <c:pt idx="9">
                  <c:v>699.0</c:v>
                </c:pt>
                <c:pt idx="10">
                  <c:v>679.0</c:v>
                </c:pt>
                <c:pt idx="11">
                  <c:v>51.0</c:v>
                </c:pt>
                <c:pt idx="12">
                  <c:v>767.0</c:v>
                </c:pt>
                <c:pt idx="13">
                  <c:v>28.0</c:v>
                </c:pt>
                <c:pt idx="14">
                  <c:v>36.0</c:v>
                </c:pt>
                <c:pt idx="15">
                  <c:v>76.0</c:v>
                </c:pt>
                <c:pt idx="16">
                  <c:v>93.0</c:v>
                </c:pt>
                <c:pt idx="17">
                  <c:v>138.0</c:v>
                </c:pt>
                <c:pt idx="18">
                  <c:v>206.0</c:v>
                </c:pt>
                <c:pt idx="19">
                  <c:v>1123.0</c:v>
                </c:pt>
                <c:pt idx="20">
                  <c:v>1517.0</c:v>
                </c:pt>
                <c:pt idx="21">
                  <c:v>142.0</c:v>
                </c:pt>
                <c:pt idx="22">
                  <c:v>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139208"/>
        <c:axId val="2071225720"/>
      </c:barChart>
      <c:catAx>
        <c:axId val="2071139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71225720"/>
        <c:crosses val="autoZero"/>
        <c:auto val="1"/>
        <c:lblAlgn val="ctr"/>
        <c:lblOffset val="100"/>
        <c:noMultiLvlLbl val="0"/>
      </c:catAx>
      <c:valAx>
        <c:axId val="2071225720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207122572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'per Ad'!$F$24</c:f>
              <c:strCache>
                <c:ptCount val="1"/>
                <c:pt idx="0">
                  <c:v>CPM</c:v>
                </c:pt>
              </c:strCache>
            </c:strRef>
          </c:tx>
          <c:invertIfNegative val="0"/>
          <c:cat>
            <c:strRef>
              <c:f>'per Ad'!$A$25:$A$47</c:f>
              <c:strCache>
                <c:ptCount val="23"/>
                <c:pt idx="0">
                  <c:v>Ad example</c:v>
                </c:pt>
                <c:pt idx="1">
                  <c:v>Ad example</c:v>
                </c:pt>
                <c:pt idx="2">
                  <c:v>Ad example</c:v>
                </c:pt>
                <c:pt idx="3">
                  <c:v>Ad example</c:v>
                </c:pt>
                <c:pt idx="4">
                  <c:v>Ad example</c:v>
                </c:pt>
                <c:pt idx="5">
                  <c:v>Ad example</c:v>
                </c:pt>
                <c:pt idx="6">
                  <c:v>Ad example</c:v>
                </c:pt>
                <c:pt idx="7">
                  <c:v>Ad example</c:v>
                </c:pt>
                <c:pt idx="8">
                  <c:v>Ad example</c:v>
                </c:pt>
                <c:pt idx="9">
                  <c:v>Ad example</c:v>
                </c:pt>
                <c:pt idx="10">
                  <c:v>Ad example</c:v>
                </c:pt>
                <c:pt idx="11">
                  <c:v>Ad example</c:v>
                </c:pt>
                <c:pt idx="12">
                  <c:v>Ad example</c:v>
                </c:pt>
                <c:pt idx="13">
                  <c:v>Ad example</c:v>
                </c:pt>
                <c:pt idx="14">
                  <c:v>Ad example</c:v>
                </c:pt>
                <c:pt idx="15">
                  <c:v>Ad example</c:v>
                </c:pt>
                <c:pt idx="16">
                  <c:v>Ad example</c:v>
                </c:pt>
                <c:pt idx="17">
                  <c:v>Ad example</c:v>
                </c:pt>
                <c:pt idx="18">
                  <c:v>Ad example</c:v>
                </c:pt>
                <c:pt idx="19">
                  <c:v>Ad example</c:v>
                </c:pt>
                <c:pt idx="20">
                  <c:v>Ad example</c:v>
                </c:pt>
                <c:pt idx="21">
                  <c:v>Ad example</c:v>
                </c:pt>
                <c:pt idx="22">
                  <c:v>Ad example</c:v>
                </c:pt>
              </c:strCache>
            </c:strRef>
          </c:cat>
          <c:val>
            <c:numRef>
              <c:f>'per Ad'!$F$25:$F$47</c:f>
              <c:numCache>
                <c:formatCode>#\ ##,000\ [$Kč]</c:formatCode>
                <c:ptCount val="23"/>
                <c:pt idx="0">
                  <c:v>103.3145009416196</c:v>
                </c:pt>
                <c:pt idx="1">
                  <c:v>336.4705882352941</c:v>
                </c:pt>
                <c:pt idx="2">
                  <c:v>107.5862068965517</c:v>
                </c:pt>
                <c:pt idx="3">
                  <c:v>113.8526315789474</c:v>
                </c:pt>
                <c:pt idx="4">
                  <c:v>114.8986653484923</c:v>
                </c:pt>
                <c:pt idx="5">
                  <c:v>133.6775106082037</c:v>
                </c:pt>
                <c:pt idx="6">
                  <c:v>117.5609756097561</c:v>
                </c:pt>
                <c:pt idx="7">
                  <c:v>117.7911344853494</c:v>
                </c:pt>
                <c:pt idx="8">
                  <c:v>131.0655737704918</c:v>
                </c:pt>
                <c:pt idx="9">
                  <c:v>102.6609442060086</c:v>
                </c:pt>
                <c:pt idx="10">
                  <c:v>111.8114874815906</c:v>
                </c:pt>
                <c:pt idx="11">
                  <c:v>203.921568627451</c:v>
                </c:pt>
                <c:pt idx="12">
                  <c:v>73.55932203389831</c:v>
                </c:pt>
                <c:pt idx="13">
                  <c:v>306.4285714285714</c:v>
                </c:pt>
                <c:pt idx="14">
                  <c:v>187.7777777777778</c:v>
                </c:pt>
                <c:pt idx="15">
                  <c:v>99.21052631578947</c:v>
                </c:pt>
                <c:pt idx="16">
                  <c:v>81.07526881720429</c:v>
                </c:pt>
                <c:pt idx="17">
                  <c:v>195.9420289855072</c:v>
                </c:pt>
                <c:pt idx="18">
                  <c:v>217.0873786407767</c:v>
                </c:pt>
                <c:pt idx="19">
                  <c:v>105.3428317008014</c:v>
                </c:pt>
                <c:pt idx="20">
                  <c:v>98.37837837837839</c:v>
                </c:pt>
                <c:pt idx="21">
                  <c:v>201.4084507042254</c:v>
                </c:pt>
                <c:pt idx="22">
                  <c:v>212.3943661971831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0066088"/>
        <c:axId val="-2070866136"/>
      </c:barChart>
      <c:catAx>
        <c:axId val="-2120066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070866136"/>
        <c:crosses val="autoZero"/>
        <c:auto val="1"/>
        <c:lblAlgn val="ctr"/>
        <c:lblOffset val="100"/>
        <c:noMultiLvlLbl val="0"/>
      </c:catAx>
      <c:valAx>
        <c:axId val="-2070866136"/>
        <c:scaling>
          <c:orientation val="minMax"/>
        </c:scaling>
        <c:delete val="0"/>
        <c:axPos val="b"/>
        <c:majorGridlines>
          <c:spPr>
            <a:effectLst/>
          </c:spPr>
        </c:majorGridlines>
        <c:numFmt formatCode="#,##0.00\ [$Kč]" sourceLinked="0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-207086613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<Relationship Id="rId6" Type="http://schemas.openxmlformats.org/officeDocument/2006/relationships/chart" Target="../charts/chart19.xml"/><Relationship Id="rId7" Type="http://schemas.openxmlformats.org/officeDocument/2006/relationships/chart" Target="../charts/chart20.xml"/><Relationship Id="rId8" Type="http://schemas.openxmlformats.org/officeDocument/2006/relationships/chart" Target="../charts/chart21.xml"/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190500</xdr:rowOff>
    </xdr:from>
    <xdr:to>
      <xdr:col>11</xdr:col>
      <xdr:colOff>95250</xdr:colOff>
      <xdr:row>13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44</xdr:row>
      <xdr:rowOff>190500</xdr:rowOff>
    </xdr:from>
    <xdr:to>
      <xdr:col>5</xdr:col>
      <xdr:colOff>95250</xdr:colOff>
      <xdr:row>58</xdr:row>
      <xdr:rowOff>95250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95250</xdr:colOff>
      <xdr:row>44</xdr:row>
      <xdr:rowOff>190500</xdr:rowOff>
    </xdr:from>
    <xdr:to>
      <xdr:col>11</xdr:col>
      <xdr:colOff>95250</xdr:colOff>
      <xdr:row>58</xdr:row>
      <xdr:rowOff>95250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73</xdr:row>
      <xdr:rowOff>190500</xdr:rowOff>
    </xdr:from>
    <xdr:to>
      <xdr:col>5</xdr:col>
      <xdr:colOff>95250</xdr:colOff>
      <xdr:row>87</xdr:row>
      <xdr:rowOff>95250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95250</xdr:colOff>
      <xdr:row>73</xdr:row>
      <xdr:rowOff>190500</xdr:rowOff>
    </xdr:from>
    <xdr:to>
      <xdr:col>11</xdr:col>
      <xdr:colOff>95250</xdr:colOff>
      <xdr:row>87</xdr:row>
      <xdr:rowOff>95250</xdr:rowOff>
    </xdr:to>
    <xdr:graphicFrame macro="">
      <xdr:nvGraphicFramePr>
        <xdr:cNvPr id="51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95250</xdr:colOff>
      <xdr:row>100</xdr:row>
      <xdr:rowOff>190500</xdr:rowOff>
    </xdr:from>
    <xdr:to>
      <xdr:col>5</xdr:col>
      <xdr:colOff>95250</xdr:colOff>
      <xdr:row>114</xdr:row>
      <xdr:rowOff>95250</xdr:rowOff>
    </xdr:to>
    <xdr:graphicFrame macro="">
      <xdr:nvGraphicFramePr>
        <xdr:cNvPr id="61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95250</xdr:colOff>
      <xdr:row>100</xdr:row>
      <xdr:rowOff>190500</xdr:rowOff>
    </xdr:from>
    <xdr:to>
      <xdr:col>11</xdr:col>
      <xdr:colOff>95250</xdr:colOff>
      <xdr:row>114</xdr:row>
      <xdr:rowOff>95250</xdr:rowOff>
    </xdr:to>
    <xdr:graphicFrame macro="">
      <xdr:nvGraphicFramePr>
        <xdr:cNvPr id="717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190500</xdr:rowOff>
    </xdr:from>
    <xdr:to>
      <xdr:col>5</xdr:col>
      <xdr:colOff>95250</xdr:colOff>
      <xdr:row>20</xdr:row>
      <xdr:rowOff>431800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6</xdr:row>
      <xdr:rowOff>190500</xdr:rowOff>
    </xdr:from>
    <xdr:to>
      <xdr:col>11</xdr:col>
      <xdr:colOff>95250</xdr:colOff>
      <xdr:row>20</xdr:row>
      <xdr:rowOff>406400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52</xdr:row>
      <xdr:rowOff>190500</xdr:rowOff>
    </xdr:from>
    <xdr:to>
      <xdr:col>5</xdr:col>
      <xdr:colOff>95250</xdr:colOff>
      <xdr:row>78</xdr:row>
      <xdr:rowOff>254000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95250</xdr:colOff>
      <xdr:row>52</xdr:row>
      <xdr:rowOff>190500</xdr:rowOff>
    </xdr:from>
    <xdr:to>
      <xdr:col>11</xdr:col>
      <xdr:colOff>95250</xdr:colOff>
      <xdr:row>78</xdr:row>
      <xdr:rowOff>203200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116</xdr:row>
      <xdr:rowOff>190500</xdr:rowOff>
    </xdr:from>
    <xdr:to>
      <xdr:col>5</xdr:col>
      <xdr:colOff>95250</xdr:colOff>
      <xdr:row>137</xdr:row>
      <xdr:rowOff>355600</xdr:rowOff>
    </xdr:to>
    <xdr:graphicFrame macro="">
      <xdr:nvGraphicFramePr>
        <xdr:cNvPr id="51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</xdr:colOff>
      <xdr:row>116</xdr:row>
      <xdr:rowOff>190500</xdr:rowOff>
    </xdr:from>
    <xdr:to>
      <xdr:col>11</xdr:col>
      <xdr:colOff>95250</xdr:colOff>
      <xdr:row>137</xdr:row>
      <xdr:rowOff>431800</xdr:rowOff>
    </xdr:to>
    <xdr:graphicFrame macro="">
      <xdr:nvGraphicFramePr>
        <xdr:cNvPr id="61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190500</xdr:rowOff>
    </xdr:from>
    <xdr:to>
      <xdr:col>5</xdr:col>
      <xdr:colOff>95250</xdr:colOff>
      <xdr:row>13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6</xdr:row>
      <xdr:rowOff>190500</xdr:rowOff>
    </xdr:from>
    <xdr:to>
      <xdr:col>11</xdr:col>
      <xdr:colOff>95250</xdr:colOff>
      <xdr:row>13</xdr:row>
      <xdr:rowOff>95250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44</xdr:row>
      <xdr:rowOff>190500</xdr:rowOff>
    </xdr:from>
    <xdr:to>
      <xdr:col>5</xdr:col>
      <xdr:colOff>95250</xdr:colOff>
      <xdr:row>58</xdr:row>
      <xdr:rowOff>95250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95250</xdr:colOff>
      <xdr:row>44</xdr:row>
      <xdr:rowOff>190500</xdr:rowOff>
    </xdr:from>
    <xdr:to>
      <xdr:col>11</xdr:col>
      <xdr:colOff>95250</xdr:colOff>
      <xdr:row>58</xdr:row>
      <xdr:rowOff>95250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83</xdr:row>
      <xdr:rowOff>190500</xdr:rowOff>
    </xdr:from>
    <xdr:to>
      <xdr:col>5</xdr:col>
      <xdr:colOff>95250</xdr:colOff>
      <xdr:row>97</xdr:row>
      <xdr:rowOff>95250</xdr:rowOff>
    </xdr:to>
    <xdr:graphicFrame macro="">
      <xdr:nvGraphicFramePr>
        <xdr:cNvPr id="51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95250</xdr:colOff>
      <xdr:row>83</xdr:row>
      <xdr:rowOff>190500</xdr:rowOff>
    </xdr:from>
    <xdr:to>
      <xdr:col>11</xdr:col>
      <xdr:colOff>95250</xdr:colOff>
      <xdr:row>97</xdr:row>
      <xdr:rowOff>95250</xdr:rowOff>
    </xdr:to>
    <xdr:graphicFrame macro="">
      <xdr:nvGraphicFramePr>
        <xdr:cNvPr id="61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122</xdr:row>
      <xdr:rowOff>190500</xdr:rowOff>
    </xdr:from>
    <xdr:to>
      <xdr:col>5</xdr:col>
      <xdr:colOff>95250</xdr:colOff>
      <xdr:row>136</xdr:row>
      <xdr:rowOff>95250</xdr:rowOff>
    </xdr:to>
    <xdr:graphicFrame macro="">
      <xdr:nvGraphicFramePr>
        <xdr:cNvPr id="717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95250</xdr:colOff>
      <xdr:row>122</xdr:row>
      <xdr:rowOff>190500</xdr:rowOff>
    </xdr:from>
    <xdr:to>
      <xdr:col>11</xdr:col>
      <xdr:colOff>95250</xdr:colOff>
      <xdr:row>136</xdr:row>
      <xdr:rowOff>95250</xdr:rowOff>
    </xdr:to>
    <xdr:graphicFrame macro="">
      <xdr:nvGraphicFramePr>
        <xdr:cNvPr id="82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40"/>
  <sheetViews>
    <sheetView showGridLines="0" tabSelected="1" workbookViewId="0"/>
  </sheetViews>
  <sheetFormatPr baseColWidth="10" defaultColWidth="8.83203125" defaultRowHeight="15" x14ac:dyDescent="0"/>
  <cols>
    <col min="1" max="1" width="47.5" customWidth="1"/>
    <col min="2" max="9" width="18" customWidth="1"/>
    <col min="10" max="10" width="19.5" customWidth="1"/>
    <col min="11" max="12" width="18" customWidth="1"/>
  </cols>
  <sheetData>
    <row r="1" spans="1:12" ht="49" customHeight="1">
      <c r="A1" s="1" t="s">
        <v>287</v>
      </c>
      <c r="J1" s="21"/>
      <c r="K1" s="22"/>
      <c r="L1" s="22"/>
    </row>
    <row r="2" spans="1:12" ht="15" customHeight="1">
      <c r="A2" t="s">
        <v>0</v>
      </c>
      <c r="C2" t="s">
        <v>291</v>
      </c>
    </row>
    <row r="3" spans="1:12" ht="15" customHeight="1">
      <c r="A3" t="s">
        <v>1</v>
      </c>
      <c r="C3" t="s">
        <v>2</v>
      </c>
      <c r="E3" s="2" t="s">
        <v>3</v>
      </c>
      <c r="F3">
        <v>26</v>
      </c>
    </row>
    <row r="4" spans="1:12" ht="15" customHeight="1"/>
    <row r="5" spans="1:12" ht="15" customHeight="1"/>
    <row r="6" spans="1:12" ht="41" customHeight="1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6" customHeight="1"/>
    <row r="8" spans="1:12" ht="36" customHeight="1"/>
    <row r="9" spans="1:12" ht="36" customHeight="1"/>
    <row r="10" spans="1:12" ht="36" customHeight="1"/>
    <row r="11" spans="1:12" ht="36" customHeight="1"/>
    <row r="12" spans="1:12" ht="36" customHeight="1"/>
    <row r="13" spans="1:12" ht="36" customHeight="1"/>
    <row r="14" spans="1:12" ht="36" customHeight="1"/>
    <row r="15" spans="1:12" ht="33" customHeight="1">
      <c r="A15" s="4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4" t="s">
        <v>14</v>
      </c>
      <c r="K15" s="4" t="s">
        <v>15</v>
      </c>
      <c r="L15" s="4"/>
    </row>
    <row r="16" spans="1:12">
      <c r="A16" s="5" t="s">
        <v>17</v>
      </c>
      <c r="B16" s="6">
        <v>9390</v>
      </c>
      <c r="C16" s="7">
        <f t="shared" ref="C16:C19" si="0">D16/B16</f>
        <v>1.0574014909478169</v>
      </c>
      <c r="D16" s="6">
        <v>9929</v>
      </c>
      <c r="E16" s="8">
        <f t="shared" ref="E16:E19" si="1">K16/(D16/1000)</f>
        <v>153.92083794944077</v>
      </c>
      <c r="F16" s="6">
        <v>41</v>
      </c>
      <c r="G16" s="8">
        <f t="shared" ref="G16:G19" si="2">K16/F16</f>
        <v>37.275121951219454</v>
      </c>
      <c r="H16" s="9">
        <f t="shared" ref="H16:H19" si="3">F16/D16</f>
        <v>4.1293181589283912E-3</v>
      </c>
      <c r="I16" s="6">
        <v>0</v>
      </c>
      <c r="J16" s="8"/>
      <c r="K16" s="8">
        <f>58.7799999999999*F3</f>
        <v>1528.2799999999975</v>
      </c>
      <c r="L16" s="5"/>
    </row>
    <row r="17" spans="1:12">
      <c r="A17" s="5" t="s">
        <v>18</v>
      </c>
      <c r="B17" s="6">
        <v>3402</v>
      </c>
      <c r="C17" s="7">
        <f t="shared" si="0"/>
        <v>1.1443268665490887</v>
      </c>
      <c r="D17" s="6">
        <v>3893</v>
      </c>
      <c r="E17" s="8">
        <f t="shared" si="1"/>
        <v>253.52170562548164</v>
      </c>
      <c r="F17" s="6">
        <v>25</v>
      </c>
      <c r="G17" s="8">
        <f t="shared" si="2"/>
        <v>39.478400000000001</v>
      </c>
      <c r="H17" s="9">
        <f t="shared" si="3"/>
        <v>6.4217826868738764E-3</v>
      </c>
      <c r="I17" s="6">
        <v>0</v>
      </c>
      <c r="J17" s="8"/>
      <c r="K17" s="8">
        <f>37.96*F3</f>
        <v>986.96</v>
      </c>
      <c r="L17" s="5"/>
    </row>
    <row r="18" spans="1:12">
      <c r="A18" s="5" t="s">
        <v>19</v>
      </c>
      <c r="B18" s="6">
        <v>3657</v>
      </c>
      <c r="C18" s="7">
        <f t="shared" si="0"/>
        <v>1.181843040743779</v>
      </c>
      <c r="D18" s="6">
        <v>4322</v>
      </c>
      <c r="E18" s="8">
        <f t="shared" si="1"/>
        <v>231.54558074965294</v>
      </c>
      <c r="F18" s="6">
        <v>32</v>
      </c>
      <c r="G18" s="8">
        <f t="shared" si="2"/>
        <v>31.273125</v>
      </c>
      <c r="H18" s="9">
        <f t="shared" si="3"/>
        <v>7.4039796390559928E-3</v>
      </c>
      <c r="I18" s="6">
        <v>0</v>
      </c>
      <c r="J18" s="8"/>
      <c r="K18" s="8">
        <f>38.49*F3</f>
        <v>1000.74</v>
      </c>
      <c r="L18" s="5"/>
    </row>
    <row r="19" spans="1:12">
      <c r="A19" s="5" t="s">
        <v>20</v>
      </c>
      <c r="B19" s="6">
        <v>2963</v>
      </c>
      <c r="C19" s="7">
        <f t="shared" si="0"/>
        <v>1.1464731690853864</v>
      </c>
      <c r="D19" s="6">
        <v>3397</v>
      </c>
      <c r="E19" s="8">
        <f t="shared" si="1"/>
        <v>285.18104209596703</v>
      </c>
      <c r="F19" s="6">
        <v>68</v>
      </c>
      <c r="G19" s="8">
        <f t="shared" si="2"/>
        <v>14.246470588235294</v>
      </c>
      <c r="H19" s="9">
        <f t="shared" si="3"/>
        <v>2.0017662643508977E-2</v>
      </c>
      <c r="I19" s="6">
        <v>0</v>
      </c>
      <c r="J19" s="8"/>
      <c r="K19" s="8">
        <f>37.26*F3</f>
        <v>968.76</v>
      </c>
      <c r="L19" s="5"/>
    </row>
    <row r="20" spans="1:12">
      <c r="A20" s="5" t="s">
        <v>21</v>
      </c>
      <c r="B20" s="6">
        <v>1417</v>
      </c>
      <c r="C20" s="7">
        <f t="shared" ref="C20:C41" si="4">D20/B20</f>
        <v>1.0190543401552576</v>
      </c>
      <c r="D20" s="6">
        <v>1444</v>
      </c>
      <c r="E20" s="8">
        <f t="shared" ref="E20:E41" si="5">K20/(D20/1000)</f>
        <v>184.73684210526315</v>
      </c>
      <c r="F20" s="6">
        <v>108</v>
      </c>
      <c r="G20" s="8">
        <f t="shared" ref="G20:G41" si="6">K20/F20</f>
        <v>2.4699999999999998</v>
      </c>
      <c r="H20" s="9">
        <f t="shared" ref="H20:H41" si="7">F20/D20</f>
        <v>7.4792243767313013E-2</v>
      </c>
      <c r="I20" s="6">
        <v>0</v>
      </c>
      <c r="J20" s="8"/>
      <c r="K20" s="8">
        <f>10.26*F3</f>
        <v>266.76</v>
      </c>
      <c r="L20" s="5"/>
    </row>
    <row r="21" spans="1:12">
      <c r="A21" s="5" t="s">
        <v>22</v>
      </c>
      <c r="B21" s="6">
        <v>2625</v>
      </c>
      <c r="C21" s="7">
        <f t="shared" si="4"/>
        <v>1.0163809523809524</v>
      </c>
      <c r="D21" s="6">
        <v>2668</v>
      </c>
      <c r="E21" s="8">
        <f t="shared" si="5"/>
        <v>278.2233883058471</v>
      </c>
      <c r="F21" s="6">
        <v>15</v>
      </c>
      <c r="G21" s="8">
        <f t="shared" si="6"/>
        <v>49.486666666666672</v>
      </c>
      <c r="H21" s="9">
        <f t="shared" si="7"/>
        <v>5.6221889055472268E-3</v>
      </c>
      <c r="I21" s="6">
        <v>0</v>
      </c>
      <c r="J21" s="8"/>
      <c r="K21" s="8">
        <f>28.55*F3</f>
        <v>742.30000000000007</v>
      </c>
      <c r="L21" s="5"/>
    </row>
    <row r="22" spans="1:12">
      <c r="A22" s="5" t="s">
        <v>23</v>
      </c>
      <c r="B22" s="6">
        <v>4803</v>
      </c>
      <c r="C22" s="7">
        <f t="shared" si="4"/>
        <v>1.2521340828648762</v>
      </c>
      <c r="D22" s="6">
        <v>6014</v>
      </c>
      <c r="E22" s="8">
        <f t="shared" si="5"/>
        <v>213.74127036913868</v>
      </c>
      <c r="F22" s="6">
        <v>41</v>
      </c>
      <c r="G22" s="8">
        <f t="shared" si="6"/>
        <v>31.352195121951222</v>
      </c>
      <c r="H22" s="9">
        <f t="shared" si="7"/>
        <v>6.8174260059860325E-3</v>
      </c>
      <c r="I22" s="6">
        <v>0</v>
      </c>
      <c r="J22" s="8"/>
      <c r="K22" s="8">
        <f>49.44*F3</f>
        <v>1285.44</v>
      </c>
      <c r="L22" s="5"/>
    </row>
    <row r="23" spans="1:12">
      <c r="A23" s="5" t="s">
        <v>24</v>
      </c>
      <c r="B23" s="6">
        <v>3367</v>
      </c>
      <c r="C23" s="7">
        <f t="shared" si="4"/>
        <v>1.2863082863082862</v>
      </c>
      <c r="D23" s="6">
        <v>4331</v>
      </c>
      <c r="E23" s="8">
        <f t="shared" si="5"/>
        <v>274.34772569845302</v>
      </c>
      <c r="F23" s="6">
        <v>24</v>
      </c>
      <c r="G23" s="8">
        <f t="shared" si="6"/>
        <v>49.508333333333333</v>
      </c>
      <c r="H23" s="9">
        <f t="shared" si="7"/>
        <v>5.5414453936735164E-3</v>
      </c>
      <c r="I23" s="6">
        <v>0</v>
      </c>
      <c r="J23" s="8"/>
      <c r="K23" s="8">
        <f>45.7*F3</f>
        <v>1188.2</v>
      </c>
      <c r="L23" s="5"/>
    </row>
    <row r="24" spans="1:12">
      <c r="A24" s="5" t="s">
        <v>25</v>
      </c>
      <c r="B24" s="6">
        <v>6049</v>
      </c>
      <c r="C24" s="7">
        <f t="shared" si="4"/>
        <v>1.0737311952388824</v>
      </c>
      <c r="D24" s="6">
        <v>6495</v>
      </c>
      <c r="E24" s="8">
        <f t="shared" si="5"/>
        <v>174.57428791377981</v>
      </c>
      <c r="F24" s="6">
        <v>462</v>
      </c>
      <c r="G24" s="8">
        <f t="shared" si="6"/>
        <v>2.4542424242424241</v>
      </c>
      <c r="H24" s="9">
        <f t="shared" si="7"/>
        <v>7.1131639722863738E-2</v>
      </c>
      <c r="I24" s="6">
        <v>16</v>
      </c>
      <c r="J24" s="8">
        <f t="shared" ref="J24:J41" si="8">K24/(I24/1000)</f>
        <v>70866.249999999985</v>
      </c>
      <c r="K24" s="8">
        <f>43.61*F3</f>
        <v>1133.8599999999999</v>
      </c>
      <c r="L24" s="5"/>
    </row>
    <row r="25" spans="1:12">
      <c r="A25" s="5" t="s">
        <v>26</v>
      </c>
      <c r="B25" s="6">
        <v>8577</v>
      </c>
      <c r="C25" s="7">
        <f t="shared" si="4"/>
        <v>1.2330651743033694</v>
      </c>
      <c r="D25" s="6">
        <v>10576</v>
      </c>
      <c r="E25" s="8">
        <f t="shared" si="5"/>
        <v>113.82375189107412</v>
      </c>
      <c r="F25" s="6">
        <v>584</v>
      </c>
      <c r="G25" s="8">
        <f t="shared" si="6"/>
        <v>2.0613013698630138</v>
      </c>
      <c r="H25" s="9">
        <f t="shared" si="7"/>
        <v>5.5219364599092283E-2</v>
      </c>
      <c r="I25" s="6">
        <v>73</v>
      </c>
      <c r="J25" s="8">
        <f t="shared" si="8"/>
        <v>16490.410958904111</v>
      </c>
      <c r="K25" s="8">
        <f>46.3*F3</f>
        <v>1203.8</v>
      </c>
      <c r="L25" s="5"/>
    </row>
    <row r="26" spans="1:12">
      <c r="A26" s="5" t="s">
        <v>27</v>
      </c>
      <c r="B26" s="6">
        <v>6470</v>
      </c>
      <c r="C26" s="7">
        <f t="shared" si="4"/>
        <v>1.1482225656877898</v>
      </c>
      <c r="D26" s="6">
        <v>7429</v>
      </c>
      <c r="E26" s="8">
        <f t="shared" si="5"/>
        <v>154.93606138107378</v>
      </c>
      <c r="F26" s="6">
        <v>423</v>
      </c>
      <c r="G26" s="8">
        <f t="shared" si="6"/>
        <v>2.7210874704491661</v>
      </c>
      <c r="H26" s="9">
        <f t="shared" si="7"/>
        <v>5.6939022748687576E-2</v>
      </c>
      <c r="I26" s="6">
        <v>21</v>
      </c>
      <c r="J26" s="8">
        <f t="shared" si="8"/>
        <v>54810.47619047606</v>
      </c>
      <c r="K26" s="8">
        <f>44.2699999999999*F3</f>
        <v>1151.0199999999973</v>
      </c>
      <c r="L26" s="5"/>
    </row>
    <row r="27" spans="1:12">
      <c r="A27" s="5" t="s">
        <v>28</v>
      </c>
      <c r="B27" s="6">
        <v>5434</v>
      </c>
      <c r="C27" s="7">
        <f t="shared" si="4"/>
        <v>1.1440927493559072</v>
      </c>
      <c r="D27" s="6">
        <v>6217</v>
      </c>
      <c r="E27" s="8">
        <f t="shared" si="5"/>
        <v>184.26250603184775</v>
      </c>
      <c r="F27" s="6">
        <v>297</v>
      </c>
      <c r="G27" s="8">
        <f t="shared" si="6"/>
        <v>3.8571043771043687</v>
      </c>
      <c r="H27" s="9">
        <f t="shared" si="7"/>
        <v>4.7772237413543507E-2</v>
      </c>
      <c r="I27" s="6">
        <v>9</v>
      </c>
      <c r="J27" s="8">
        <f t="shared" si="8"/>
        <v>127284.44444444418</v>
      </c>
      <c r="K27" s="8">
        <f>44.0599999999999*F3</f>
        <v>1145.5599999999974</v>
      </c>
      <c r="L27" s="5"/>
    </row>
    <row r="28" spans="1:12">
      <c r="A28" s="5" t="s">
        <v>29</v>
      </c>
      <c r="B28" s="6">
        <v>5362</v>
      </c>
      <c r="C28" s="7">
        <f t="shared" si="4"/>
        <v>1.0365535248041775</v>
      </c>
      <c r="D28" s="6">
        <v>5558</v>
      </c>
      <c r="E28" s="8">
        <f t="shared" si="5"/>
        <v>198.81252249010436</v>
      </c>
      <c r="F28" s="6">
        <v>257</v>
      </c>
      <c r="G28" s="8">
        <f t="shared" si="6"/>
        <v>4.2996108949416341</v>
      </c>
      <c r="H28" s="9">
        <f t="shared" si="7"/>
        <v>4.623965455199712E-2</v>
      </c>
      <c r="I28" s="6">
        <v>1</v>
      </c>
      <c r="J28" s="8">
        <f t="shared" si="8"/>
        <v>1105000</v>
      </c>
      <c r="K28" s="8">
        <f>42.5*F3</f>
        <v>1105</v>
      </c>
      <c r="L28" s="5"/>
    </row>
    <row r="29" spans="1:12">
      <c r="A29" s="5" t="s">
        <v>30</v>
      </c>
      <c r="B29" s="6">
        <v>5233</v>
      </c>
      <c r="C29" s="7">
        <f t="shared" si="4"/>
        <v>1.0428052742212879</v>
      </c>
      <c r="D29" s="6">
        <v>5457</v>
      </c>
      <c r="E29" s="8">
        <f t="shared" si="5"/>
        <v>204.82682792743267</v>
      </c>
      <c r="F29" s="6">
        <v>261</v>
      </c>
      <c r="G29" s="8">
        <f t="shared" si="6"/>
        <v>4.2825287356321837</v>
      </c>
      <c r="H29" s="9">
        <f t="shared" si="7"/>
        <v>4.782847718526663E-2</v>
      </c>
      <c r="I29" s="6">
        <v>0</v>
      </c>
      <c r="J29" s="8"/>
      <c r="K29" s="8">
        <f>42.99*F3</f>
        <v>1117.74</v>
      </c>
      <c r="L29" s="5"/>
    </row>
    <row r="30" spans="1:12">
      <c r="A30" s="5" t="s">
        <v>31</v>
      </c>
      <c r="B30" s="6">
        <v>4434</v>
      </c>
      <c r="C30" s="7">
        <f t="shared" si="4"/>
        <v>1.049616599007668</v>
      </c>
      <c r="D30" s="6">
        <v>4654</v>
      </c>
      <c r="E30" s="8">
        <f t="shared" si="5"/>
        <v>209.21787709497207</v>
      </c>
      <c r="F30" s="6">
        <v>234</v>
      </c>
      <c r="G30" s="8">
        <f t="shared" si="6"/>
        <v>4.1611111111111114</v>
      </c>
      <c r="H30" s="9">
        <f t="shared" si="7"/>
        <v>5.027932960893855E-2</v>
      </c>
      <c r="I30" s="6">
        <v>2</v>
      </c>
      <c r="J30" s="8">
        <f t="shared" si="8"/>
        <v>486850</v>
      </c>
      <c r="K30" s="8">
        <f>37.45*F3</f>
        <v>973.7</v>
      </c>
      <c r="L30" s="5"/>
    </row>
    <row r="31" spans="1:12">
      <c r="A31" s="5" t="s">
        <v>32</v>
      </c>
      <c r="B31" s="6">
        <v>4522</v>
      </c>
      <c r="C31" s="7">
        <f t="shared" si="4"/>
        <v>1.0488721804511278</v>
      </c>
      <c r="D31" s="6">
        <v>4743</v>
      </c>
      <c r="E31" s="8">
        <f t="shared" si="5"/>
        <v>194.10921357790423</v>
      </c>
      <c r="F31" s="6">
        <v>177</v>
      </c>
      <c r="G31" s="8">
        <f t="shared" si="6"/>
        <v>5.2014689265536713</v>
      </c>
      <c r="H31" s="9">
        <f t="shared" si="7"/>
        <v>3.7318153067678682E-2</v>
      </c>
      <c r="I31" s="6">
        <v>3</v>
      </c>
      <c r="J31" s="8">
        <f t="shared" si="8"/>
        <v>306886.66666666663</v>
      </c>
      <c r="K31" s="8">
        <f>35.41*F3</f>
        <v>920.65999999999985</v>
      </c>
      <c r="L31" s="5"/>
    </row>
    <row r="32" spans="1:12">
      <c r="A32" s="5" t="s">
        <v>33</v>
      </c>
      <c r="B32" s="6">
        <v>4041</v>
      </c>
      <c r="C32" s="7">
        <f t="shared" si="4"/>
        <v>1.0512249443207127</v>
      </c>
      <c r="D32" s="6">
        <v>4248</v>
      </c>
      <c r="E32" s="8">
        <f t="shared" si="5"/>
        <v>218.25800376647831</v>
      </c>
      <c r="F32" s="6">
        <v>167</v>
      </c>
      <c r="G32" s="8">
        <f t="shared" si="6"/>
        <v>5.5518562874251485</v>
      </c>
      <c r="H32" s="9">
        <f t="shared" si="7"/>
        <v>3.9312617702448212E-2</v>
      </c>
      <c r="I32" s="6">
        <v>2</v>
      </c>
      <c r="J32" s="8">
        <f t="shared" si="8"/>
        <v>463579.99999999994</v>
      </c>
      <c r="K32" s="8">
        <f>35.66*F3</f>
        <v>927.15999999999985</v>
      </c>
      <c r="L32" s="5"/>
    </row>
    <row r="33" spans="1:12">
      <c r="A33" s="5" t="s">
        <v>34</v>
      </c>
      <c r="B33" s="6">
        <v>3444</v>
      </c>
      <c r="C33" s="7">
        <f t="shared" si="4"/>
        <v>1.0749128919860627</v>
      </c>
      <c r="D33" s="6">
        <v>3702</v>
      </c>
      <c r="E33" s="8">
        <f t="shared" si="5"/>
        <v>259.64883846569353</v>
      </c>
      <c r="F33" s="6">
        <v>134</v>
      </c>
      <c r="G33" s="8">
        <f t="shared" si="6"/>
        <v>7.1732835820895327</v>
      </c>
      <c r="H33" s="9">
        <f t="shared" si="7"/>
        <v>3.6196650459211235E-2</v>
      </c>
      <c r="I33" s="6">
        <v>0</v>
      </c>
      <c r="J33" s="8"/>
      <c r="K33" s="8">
        <f>36.9699999999999*F3</f>
        <v>961.21999999999741</v>
      </c>
      <c r="L33" s="5"/>
    </row>
    <row r="34" spans="1:12">
      <c r="A34" s="5" t="s">
        <v>35</v>
      </c>
      <c r="B34" s="6">
        <v>3128</v>
      </c>
      <c r="C34" s="7">
        <f t="shared" si="4"/>
        <v>1.084079283887468</v>
      </c>
      <c r="D34" s="6">
        <v>3391</v>
      </c>
      <c r="E34" s="8">
        <f t="shared" si="5"/>
        <v>278.40165143025655</v>
      </c>
      <c r="F34" s="6">
        <v>85</v>
      </c>
      <c r="G34" s="8">
        <f t="shared" si="6"/>
        <v>11.106588235294119</v>
      </c>
      <c r="H34" s="9">
        <f t="shared" si="7"/>
        <v>2.5066352108522559E-2</v>
      </c>
      <c r="I34" s="6">
        <v>3</v>
      </c>
      <c r="J34" s="8">
        <f t="shared" si="8"/>
        <v>314686.66666666669</v>
      </c>
      <c r="K34" s="8">
        <f>36.31*F3</f>
        <v>944.06000000000006</v>
      </c>
      <c r="L34" s="5"/>
    </row>
    <row r="35" spans="1:12">
      <c r="A35" s="5" t="s">
        <v>36</v>
      </c>
      <c r="B35" s="6">
        <v>3122</v>
      </c>
      <c r="C35" s="7">
        <f t="shared" si="4"/>
        <v>1.0621396540679051</v>
      </c>
      <c r="D35" s="6">
        <v>3316</v>
      </c>
      <c r="E35" s="8">
        <f t="shared" si="5"/>
        <v>289.48130277442704</v>
      </c>
      <c r="F35" s="6">
        <v>119</v>
      </c>
      <c r="G35" s="8">
        <f t="shared" si="6"/>
        <v>8.0665546218487396</v>
      </c>
      <c r="H35" s="9">
        <f t="shared" si="7"/>
        <v>3.5886610373944514E-2</v>
      </c>
      <c r="I35" s="6">
        <v>3</v>
      </c>
      <c r="J35" s="8">
        <f t="shared" si="8"/>
        <v>319973.33333333337</v>
      </c>
      <c r="K35" s="8">
        <f>36.92*F3</f>
        <v>959.92000000000007</v>
      </c>
      <c r="L35" s="5"/>
    </row>
    <row r="36" spans="1:12">
      <c r="A36" s="5" t="s">
        <v>37</v>
      </c>
      <c r="B36" s="6">
        <v>3124</v>
      </c>
      <c r="C36" s="7">
        <f t="shared" si="4"/>
        <v>1.0486555697823303</v>
      </c>
      <c r="D36" s="6">
        <v>3276</v>
      </c>
      <c r="E36" s="8">
        <f t="shared" si="5"/>
        <v>326.03174603174602</v>
      </c>
      <c r="F36" s="6">
        <v>109</v>
      </c>
      <c r="G36" s="8">
        <f t="shared" si="6"/>
        <v>9.7988990825688074</v>
      </c>
      <c r="H36" s="9">
        <f t="shared" si="7"/>
        <v>3.3272283272283272E-2</v>
      </c>
      <c r="I36" s="6">
        <v>2</v>
      </c>
      <c r="J36" s="8">
        <f t="shared" si="8"/>
        <v>534040</v>
      </c>
      <c r="K36" s="8">
        <f>41.08*F3</f>
        <v>1068.08</v>
      </c>
      <c r="L36" s="5"/>
    </row>
    <row r="37" spans="1:12">
      <c r="A37" s="5" t="s">
        <v>38</v>
      </c>
      <c r="B37" s="6">
        <v>4099</v>
      </c>
      <c r="C37" s="7">
        <f t="shared" si="4"/>
        <v>1.0478165406196633</v>
      </c>
      <c r="D37" s="6">
        <v>4295</v>
      </c>
      <c r="E37" s="8">
        <f t="shared" si="5"/>
        <v>227.97671711292196</v>
      </c>
      <c r="F37" s="6">
        <v>170</v>
      </c>
      <c r="G37" s="8">
        <f t="shared" si="6"/>
        <v>5.7597647058823522</v>
      </c>
      <c r="H37" s="9">
        <f t="shared" si="7"/>
        <v>3.9580908032596042E-2</v>
      </c>
      <c r="I37" s="6">
        <v>7</v>
      </c>
      <c r="J37" s="8">
        <f t="shared" si="8"/>
        <v>139879.99999999997</v>
      </c>
      <c r="K37" s="8">
        <f>37.66*F3</f>
        <v>979.15999999999985</v>
      </c>
      <c r="L37" s="5"/>
    </row>
    <row r="38" spans="1:12">
      <c r="A38" s="5" t="s">
        <v>39</v>
      </c>
      <c r="B38" s="6">
        <v>4608</v>
      </c>
      <c r="C38" s="7">
        <f t="shared" si="4"/>
        <v>1.0557725694444444</v>
      </c>
      <c r="D38" s="6">
        <v>4865</v>
      </c>
      <c r="E38" s="8">
        <f t="shared" si="5"/>
        <v>191.53956834532377</v>
      </c>
      <c r="F38" s="6">
        <v>178</v>
      </c>
      <c r="G38" s="8">
        <f t="shared" si="6"/>
        <v>5.2350561797752819</v>
      </c>
      <c r="H38" s="9">
        <f t="shared" si="7"/>
        <v>3.6587872559095583E-2</v>
      </c>
      <c r="I38" s="6">
        <v>6</v>
      </c>
      <c r="J38" s="8">
        <f t="shared" si="8"/>
        <v>155306.66666666669</v>
      </c>
      <c r="K38" s="8">
        <f>35.84*F3</f>
        <v>931.84000000000015</v>
      </c>
      <c r="L38" s="5"/>
    </row>
    <row r="39" spans="1:12">
      <c r="A39" s="5" t="s">
        <v>40</v>
      </c>
      <c r="B39" s="6">
        <v>4123</v>
      </c>
      <c r="C39" s="7">
        <f t="shared" si="4"/>
        <v>1.0664564637399951</v>
      </c>
      <c r="D39" s="6">
        <v>4397</v>
      </c>
      <c r="E39" s="8">
        <f t="shared" si="5"/>
        <v>205.12622242438025</v>
      </c>
      <c r="F39" s="6">
        <v>188</v>
      </c>
      <c r="G39" s="8">
        <f t="shared" si="6"/>
        <v>4.797553191489361</v>
      </c>
      <c r="H39" s="9">
        <f t="shared" si="7"/>
        <v>4.2756424835114853E-2</v>
      </c>
      <c r="I39" s="6">
        <v>8</v>
      </c>
      <c r="J39" s="8">
        <f t="shared" si="8"/>
        <v>112742.49999999999</v>
      </c>
      <c r="K39" s="8">
        <f>34.69*F3</f>
        <v>901.93999999999994</v>
      </c>
      <c r="L39" s="5"/>
    </row>
    <row r="40" spans="1:12">
      <c r="A40" s="5" t="s">
        <v>41</v>
      </c>
      <c r="B40" s="6">
        <v>2892</v>
      </c>
      <c r="C40" s="7">
        <f t="shared" si="4"/>
        <v>1.1289764868603043</v>
      </c>
      <c r="D40" s="6">
        <v>3265</v>
      </c>
      <c r="E40" s="8">
        <f t="shared" si="5"/>
        <v>263.18529862174574</v>
      </c>
      <c r="F40" s="6">
        <v>23</v>
      </c>
      <c r="G40" s="8">
        <f t="shared" si="6"/>
        <v>37.360869565217392</v>
      </c>
      <c r="H40" s="9">
        <f t="shared" si="7"/>
        <v>7.0444104134762637E-3</v>
      </c>
      <c r="I40" s="6">
        <v>7</v>
      </c>
      <c r="J40" s="8">
        <f t="shared" si="8"/>
        <v>122757.14285714286</v>
      </c>
      <c r="K40" s="8">
        <f>33.05*F3</f>
        <v>859.3</v>
      </c>
      <c r="L40" s="5"/>
    </row>
    <row r="41" spans="1:12">
      <c r="A41" s="5" t="s">
        <v>42</v>
      </c>
      <c r="B41" s="6">
        <v>2037</v>
      </c>
      <c r="C41" s="7">
        <f t="shared" si="4"/>
        <v>1.1291114383897889</v>
      </c>
      <c r="D41" s="6">
        <v>2300</v>
      </c>
      <c r="E41" s="8">
        <f t="shared" si="5"/>
        <v>275.14782608695657</v>
      </c>
      <c r="F41" s="6">
        <v>10</v>
      </c>
      <c r="G41" s="8">
        <f t="shared" si="6"/>
        <v>63.284000000000006</v>
      </c>
      <c r="H41" s="9">
        <f t="shared" si="7"/>
        <v>4.3478260869565218E-3</v>
      </c>
      <c r="I41" s="6">
        <v>8</v>
      </c>
      <c r="J41" s="8">
        <f t="shared" si="8"/>
        <v>79105</v>
      </c>
      <c r="K41" s="8">
        <f>24.34*F3</f>
        <v>632.84</v>
      </c>
      <c r="L41" s="5"/>
    </row>
    <row r="42" spans="1:12" ht="59" customHeight="1"/>
    <row r="44" spans="1:12" ht="41" customHeight="1">
      <c r="A44" s="3" t="s">
        <v>43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36" customHeight="1"/>
    <row r="46" spans="1:12" ht="36" customHeight="1"/>
    <row r="47" spans="1:12" ht="36" customHeight="1"/>
    <row r="48" spans="1:12" ht="36" customHeight="1"/>
    <row r="49" spans="1:12" ht="36" customHeight="1"/>
    <row r="50" spans="1:12" ht="36" customHeight="1"/>
    <row r="51" spans="1:12" ht="36" customHeight="1"/>
    <row r="52" spans="1:12" ht="36" customHeight="1"/>
    <row r="53" spans="1:12" ht="36" customHeight="1"/>
    <row r="54" spans="1:12" ht="36" customHeight="1"/>
    <row r="55" spans="1:12" ht="36" customHeight="1"/>
    <row r="56" spans="1:12" ht="36" customHeight="1"/>
    <row r="57" spans="1:12" ht="36" customHeight="1"/>
    <row r="58" spans="1:12" ht="36" customHeight="1"/>
    <row r="59" spans="1:12" ht="36" customHeight="1"/>
    <row r="60" spans="1:12" ht="33" customHeight="1">
      <c r="A60" s="4" t="s">
        <v>44</v>
      </c>
      <c r="B60" s="4" t="s">
        <v>6</v>
      </c>
      <c r="C60" s="4" t="s">
        <v>7</v>
      </c>
      <c r="D60" s="4" t="s">
        <v>8</v>
      </c>
      <c r="E60" s="4" t="s">
        <v>45</v>
      </c>
      <c r="F60" s="4" t="s">
        <v>9</v>
      </c>
      <c r="G60" s="4" t="s">
        <v>15</v>
      </c>
      <c r="J60" s="13">
        <f>SUM(G61:G68)/(SUM(D61:D68)/1000)</f>
        <v>139.72029034891355</v>
      </c>
      <c r="K60" s="14">
        <f>AVERAGE(B61:B68)</f>
        <v>44203.75</v>
      </c>
      <c r="L60" s="15">
        <f>AVERAGE(C61:C68)</f>
        <v>1.138163402616152</v>
      </c>
    </row>
    <row r="61" spans="1:12">
      <c r="A61" s="5" t="s">
        <v>292</v>
      </c>
      <c r="B61" s="6">
        <v>7694</v>
      </c>
      <c r="C61" s="7">
        <f t="shared" ref="C61:C68" si="9">D61/B61</f>
        <v>1.1935274239667273</v>
      </c>
      <c r="D61" s="6">
        <v>9183</v>
      </c>
      <c r="E61" s="6">
        <v>7694</v>
      </c>
      <c r="F61" s="8">
        <f t="shared" ref="F61:F69" si="10">G61/(D61/1000)</f>
        <v>207.05433954045517</v>
      </c>
      <c r="G61" s="8">
        <f>73.13*F3</f>
        <v>1901.3799999999999</v>
      </c>
      <c r="J61" s="16" t="s">
        <v>46</v>
      </c>
      <c r="K61" s="16" t="s">
        <v>47</v>
      </c>
      <c r="L61" s="16" t="s">
        <v>48</v>
      </c>
    </row>
    <row r="62" spans="1:12">
      <c r="A62" s="5" t="s">
        <v>292</v>
      </c>
      <c r="B62" s="6">
        <v>10516</v>
      </c>
      <c r="C62" s="7">
        <f t="shared" si="9"/>
        <v>1.0389882084442754</v>
      </c>
      <c r="D62" s="6">
        <v>10926</v>
      </c>
      <c r="E62" s="6">
        <v>10516</v>
      </c>
      <c r="F62" s="8">
        <f t="shared" si="10"/>
        <v>193.01299652205748</v>
      </c>
      <c r="G62" s="8">
        <f>81.11*F3</f>
        <v>2108.86</v>
      </c>
    </row>
    <row r="63" spans="1:12">
      <c r="A63" s="5" t="s">
        <v>292</v>
      </c>
      <c r="B63" s="6">
        <v>37129</v>
      </c>
      <c r="C63" s="7">
        <f t="shared" si="9"/>
        <v>1.0563979638557461</v>
      </c>
      <c r="D63" s="6">
        <v>39223</v>
      </c>
      <c r="E63" s="6">
        <v>37129</v>
      </c>
      <c r="F63" s="8">
        <f t="shared" si="10"/>
        <v>270.60602197690065</v>
      </c>
      <c r="G63" s="8">
        <f>408.229999999999*F3</f>
        <v>10613.979999999974</v>
      </c>
    </row>
    <row r="64" spans="1:12">
      <c r="A64" s="5" t="s">
        <v>292</v>
      </c>
      <c r="B64" s="6">
        <v>5707</v>
      </c>
      <c r="C64" s="7">
        <f t="shared" si="9"/>
        <v>1.0169966707552129</v>
      </c>
      <c r="D64" s="6">
        <v>5804</v>
      </c>
      <c r="E64" s="6">
        <v>5707</v>
      </c>
      <c r="F64" s="8">
        <f t="shared" si="10"/>
        <v>235.80978635423799</v>
      </c>
      <c r="G64" s="8">
        <f>52.6399999999999*F3</f>
        <v>1368.6399999999974</v>
      </c>
    </row>
    <row r="65" spans="1:12">
      <c r="A65" s="5" t="s">
        <v>292</v>
      </c>
      <c r="B65" s="6">
        <v>167587</v>
      </c>
      <c r="C65" s="7">
        <f t="shared" si="9"/>
        <v>1.0481302248981126</v>
      </c>
      <c r="D65" s="6">
        <v>175653</v>
      </c>
      <c r="E65" s="6">
        <v>167587</v>
      </c>
      <c r="F65" s="8">
        <f t="shared" si="10"/>
        <v>132.810142724576</v>
      </c>
      <c r="G65" s="8">
        <f>897.249999999998*F3</f>
        <v>23328.499999999945</v>
      </c>
    </row>
    <row r="66" spans="1:12">
      <c r="A66" s="5" t="s">
        <v>292</v>
      </c>
      <c r="B66" s="6">
        <v>7331</v>
      </c>
      <c r="C66" s="7">
        <f t="shared" si="9"/>
        <v>1.2348929204746966</v>
      </c>
      <c r="D66" s="6">
        <v>9053</v>
      </c>
      <c r="E66" s="6">
        <v>7331</v>
      </c>
      <c r="F66" s="8">
        <f t="shared" si="10"/>
        <v>303.48171876725945</v>
      </c>
      <c r="G66" s="8">
        <f>105.67*F3</f>
        <v>2747.42</v>
      </c>
    </row>
    <row r="67" spans="1:12">
      <c r="A67" s="5" t="s">
        <v>292</v>
      </c>
      <c r="B67" s="6">
        <v>3983</v>
      </c>
      <c r="C67" s="7">
        <f t="shared" si="9"/>
        <v>1.1667085111724831</v>
      </c>
      <c r="D67" s="6">
        <v>4647</v>
      </c>
      <c r="E67" s="6">
        <v>3983</v>
      </c>
      <c r="F67" s="8">
        <f t="shared" si="10"/>
        <v>102.66838820744566</v>
      </c>
      <c r="G67" s="8">
        <f>18.35*F3</f>
        <v>477.1</v>
      </c>
    </row>
    <row r="68" spans="1:12">
      <c r="A68" s="5" t="s">
        <v>292</v>
      </c>
      <c r="B68" s="6">
        <v>113683</v>
      </c>
      <c r="C68" s="7">
        <f t="shared" si="9"/>
        <v>1.3496652973619627</v>
      </c>
      <c r="D68" s="6">
        <v>153434</v>
      </c>
      <c r="E68" s="6">
        <v>113683</v>
      </c>
      <c r="F68" s="8">
        <f t="shared" si="10"/>
        <v>94.172347719540312</v>
      </c>
      <c r="G68" s="8">
        <f>555.739999999998*F3</f>
        <v>14449.239999999947</v>
      </c>
    </row>
    <row r="69" spans="1:12" ht="18">
      <c r="A69" s="4" t="s">
        <v>49</v>
      </c>
      <c r="B69" s="10"/>
      <c r="C69" s="11"/>
      <c r="D69" s="10">
        <f>SUM(D61:D68)</f>
        <v>407923</v>
      </c>
      <c r="E69" s="10">
        <f>SUM(E61:E68)</f>
        <v>353630</v>
      </c>
      <c r="F69" s="12">
        <f t="shared" si="10"/>
        <v>139.72029034891355</v>
      </c>
      <c r="G69" s="12">
        <f>SUM(G61:G68)</f>
        <v>56995.119999999857</v>
      </c>
    </row>
    <row r="70" spans="1:12" ht="59" customHeight="1"/>
    <row r="73" spans="1:12" ht="41" customHeight="1">
      <c r="A73" s="3" t="s">
        <v>50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36" customHeight="1"/>
    <row r="75" spans="1:12" ht="36" customHeight="1"/>
    <row r="76" spans="1:12" ht="36" customHeight="1"/>
    <row r="77" spans="1:12" ht="36" customHeight="1"/>
    <row r="78" spans="1:12" ht="36" customHeight="1"/>
    <row r="79" spans="1:12" ht="36" customHeight="1"/>
    <row r="80" spans="1:12" ht="36" customHeight="1"/>
    <row r="81" spans="1:10" ht="36" customHeight="1"/>
    <row r="82" spans="1:10" ht="36" customHeight="1"/>
    <row r="83" spans="1:10" ht="36" customHeight="1"/>
    <row r="84" spans="1:10" ht="36" customHeight="1"/>
    <row r="85" spans="1:10" ht="36" customHeight="1"/>
    <row r="86" spans="1:10" ht="36" customHeight="1"/>
    <row r="87" spans="1:10" ht="36" customHeight="1"/>
    <row r="88" spans="1:10" ht="36" customHeight="1"/>
    <row r="89" spans="1:10" ht="33" customHeight="1">
      <c r="A89" s="4" t="s">
        <v>44</v>
      </c>
      <c r="B89" s="4" t="s">
        <v>51</v>
      </c>
      <c r="C89" s="4" t="s">
        <v>52</v>
      </c>
      <c r="D89" s="4" t="s">
        <v>53</v>
      </c>
      <c r="E89" s="4" t="s">
        <v>54</v>
      </c>
      <c r="F89" s="4" t="s">
        <v>10</v>
      </c>
      <c r="G89" s="4" t="s">
        <v>11</v>
      </c>
      <c r="H89" s="4" t="s">
        <v>12</v>
      </c>
      <c r="I89" s="4" t="s">
        <v>55</v>
      </c>
      <c r="J89" s="4" t="s">
        <v>15</v>
      </c>
    </row>
    <row r="90" spans="1:10">
      <c r="A90" s="5" t="s">
        <v>292</v>
      </c>
      <c r="B90" s="6">
        <v>350</v>
      </c>
      <c r="C90" s="8">
        <f>J90/B90</f>
        <v>5.4325142857142854</v>
      </c>
      <c r="D90" s="6">
        <v>338</v>
      </c>
      <c r="E90" s="8">
        <f>0*F3</f>
        <v>0</v>
      </c>
      <c r="F90" s="6">
        <v>70</v>
      </c>
      <c r="G90" s="8">
        <f>J90/F90</f>
        <v>27.162571428571425</v>
      </c>
      <c r="H90" s="9">
        <f>F90/9183</f>
        <v>7.6227812261788087E-3</v>
      </c>
      <c r="I90" s="7">
        <f>F90/67</f>
        <v>1.044776119402985</v>
      </c>
      <c r="J90" s="8">
        <f>73.13*F3</f>
        <v>1901.3799999999999</v>
      </c>
    </row>
    <row r="91" spans="1:10">
      <c r="A91" s="5" t="s">
        <v>292</v>
      </c>
      <c r="B91" s="6">
        <v>2801</v>
      </c>
      <c r="C91" s="8">
        <f t="shared" ref="C91:C95" si="11">J91/B91</f>
        <v>0.75289539450196363</v>
      </c>
      <c r="D91" s="6">
        <v>2604</v>
      </c>
      <c r="E91" s="8">
        <f>0*F3</f>
        <v>0</v>
      </c>
      <c r="F91" s="6">
        <v>96</v>
      </c>
      <c r="G91" s="8">
        <f t="shared" ref="G91:G95" si="12">J91/F91</f>
        <v>21.967291666666668</v>
      </c>
      <c r="H91" s="9">
        <f>F91/10926</f>
        <v>8.7863811092806152E-3</v>
      </c>
      <c r="I91" s="7">
        <f>F91/90</f>
        <v>1.0666666666666667</v>
      </c>
      <c r="J91" s="8">
        <f>81.11*F3</f>
        <v>2108.86</v>
      </c>
    </row>
    <row r="92" spans="1:10">
      <c r="A92" s="5" t="s">
        <v>292</v>
      </c>
      <c r="B92" s="6">
        <v>2177</v>
      </c>
      <c r="C92" s="8">
        <f t="shared" si="11"/>
        <v>4.8755075792374711</v>
      </c>
      <c r="D92" s="6">
        <v>2014</v>
      </c>
      <c r="E92" s="8">
        <f>157.61*F3</f>
        <v>4097.8600000000006</v>
      </c>
      <c r="F92" s="6">
        <v>1733</v>
      </c>
      <c r="G92" s="8">
        <f t="shared" si="12"/>
        <v>6.1246278130409548</v>
      </c>
      <c r="H92" s="9">
        <f>F92/39223</f>
        <v>4.4183259822043186E-2</v>
      </c>
      <c r="I92" s="7">
        <f>F92/1453</f>
        <v>1.1927047487955953</v>
      </c>
      <c r="J92" s="8">
        <f>408.229999999999*F3</f>
        <v>10613.979999999974</v>
      </c>
    </row>
    <row r="93" spans="1:10">
      <c r="A93" s="5" t="s">
        <v>292</v>
      </c>
      <c r="B93" s="6">
        <v>1302</v>
      </c>
      <c r="C93" s="8">
        <f t="shared" si="11"/>
        <v>1.0511827956989228</v>
      </c>
      <c r="D93" s="6">
        <v>1236</v>
      </c>
      <c r="E93" s="8">
        <f>0*F3</f>
        <v>0</v>
      </c>
      <c r="F93" s="6">
        <v>70</v>
      </c>
      <c r="G93" s="8">
        <f t="shared" si="12"/>
        <v>19.551999999999964</v>
      </c>
      <c r="H93" s="9">
        <f>F93/5804</f>
        <v>1.2060647829083391E-2</v>
      </c>
      <c r="I93" s="7">
        <f>F93/62</f>
        <v>1.1290322580645162</v>
      </c>
      <c r="J93" s="8">
        <f>52.6399999999999*F3</f>
        <v>1368.6399999999974</v>
      </c>
    </row>
    <row r="94" spans="1:10">
      <c r="A94" s="5" t="s">
        <v>292</v>
      </c>
      <c r="B94" s="6">
        <v>27180</v>
      </c>
      <c r="C94" s="8">
        <f t="shared" si="11"/>
        <v>0.85829654157468527</v>
      </c>
      <c r="D94" s="6">
        <v>25596</v>
      </c>
      <c r="E94" s="8">
        <f>484.39*F3</f>
        <v>12594.14</v>
      </c>
      <c r="F94" s="6">
        <v>4573</v>
      </c>
      <c r="G94" s="8">
        <f t="shared" si="12"/>
        <v>5.1013557839492556</v>
      </c>
      <c r="H94" s="9">
        <f>F94/175653</f>
        <v>2.6034283502132046E-2</v>
      </c>
      <c r="I94" s="7">
        <f>F94/3992</f>
        <v>1.1455410821643286</v>
      </c>
      <c r="J94" s="8">
        <f>897.249999999998*F3</f>
        <v>23328.499999999945</v>
      </c>
    </row>
    <row r="95" spans="1:10">
      <c r="A95" s="5" t="s">
        <v>292</v>
      </c>
      <c r="B95" s="6">
        <v>44</v>
      </c>
      <c r="C95" s="8">
        <f t="shared" si="11"/>
        <v>62.44136363636364</v>
      </c>
      <c r="D95" s="6">
        <v>28</v>
      </c>
      <c r="E95" s="8">
        <f>94.0099999999999*F3</f>
        <v>2444.2599999999975</v>
      </c>
      <c r="F95" s="6">
        <v>46</v>
      </c>
      <c r="G95" s="8">
        <f t="shared" si="12"/>
        <v>59.726521739130433</v>
      </c>
      <c r="H95" s="9">
        <f>F95/9053</f>
        <v>5.0811885562796859E-3</v>
      </c>
      <c r="I95" s="7">
        <f>F95/42</f>
        <v>1.0952380952380953</v>
      </c>
      <c r="J95" s="8">
        <f>105.67*F3</f>
        <v>2747.42</v>
      </c>
    </row>
    <row r="96" spans="1:10" ht="18">
      <c r="A96" s="4" t="s">
        <v>49</v>
      </c>
      <c r="B96" s="10">
        <f>SUM(B90:B95)</f>
        <v>33854</v>
      </c>
      <c r="C96" s="12">
        <f>J96/B96</f>
        <v>1.2426531576770814</v>
      </c>
      <c r="D96" s="10"/>
      <c r="E96" s="12">
        <f>SUM(E90:E95)</f>
        <v>19136.259999999998</v>
      </c>
      <c r="F96" s="10">
        <f>SUM(F90:F95)</f>
        <v>6588</v>
      </c>
      <c r="G96" s="12">
        <f>J96/F96</f>
        <v>6.3856678809957366</v>
      </c>
      <c r="H96" s="17">
        <f>AVERAGE(H90:H95)</f>
        <v>1.7294757007499623E-2</v>
      </c>
      <c r="I96" s="11"/>
      <c r="J96" s="12">
        <f>SUM(J90:J95)</f>
        <v>42068.779999999912</v>
      </c>
    </row>
    <row r="97" spans="1:12" ht="59" customHeight="1"/>
    <row r="100" spans="1:12" ht="41" customHeight="1">
      <c r="A100" s="3" t="s">
        <v>56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36" customHeight="1"/>
    <row r="102" spans="1:12" ht="36" customHeight="1"/>
    <row r="103" spans="1:12" ht="36" customHeight="1"/>
    <row r="104" spans="1:12" ht="36" customHeight="1"/>
    <row r="105" spans="1:12" ht="36" customHeight="1"/>
    <row r="106" spans="1:12" ht="36" customHeight="1"/>
    <row r="107" spans="1:12" ht="36" customHeight="1"/>
    <row r="108" spans="1:12" ht="36" customHeight="1"/>
    <row r="109" spans="1:12" ht="36" customHeight="1"/>
    <row r="110" spans="1:12" ht="36" customHeight="1"/>
    <row r="111" spans="1:12" ht="36" customHeight="1"/>
    <row r="112" spans="1:12" ht="36" customHeight="1"/>
    <row r="113" spans="1:11" ht="36" customHeight="1"/>
    <row r="114" spans="1:11" ht="36" customHeight="1"/>
    <row r="115" spans="1:11" ht="36" customHeight="1"/>
    <row r="116" spans="1:11" ht="33" customHeight="1">
      <c r="A116" s="4" t="s">
        <v>44</v>
      </c>
      <c r="B116" s="4" t="s">
        <v>13</v>
      </c>
      <c r="C116" s="4" t="s">
        <v>57</v>
      </c>
      <c r="D116" s="4" t="s">
        <v>58</v>
      </c>
      <c r="E116" s="4" t="s">
        <v>59</v>
      </c>
      <c r="F116" s="4" t="s">
        <v>60</v>
      </c>
      <c r="G116" s="4" t="s">
        <v>61</v>
      </c>
      <c r="H116" s="4" t="s">
        <v>62</v>
      </c>
      <c r="I116" s="4" t="s">
        <v>63</v>
      </c>
      <c r="J116" s="4" t="s">
        <v>64</v>
      </c>
      <c r="K116" s="4" t="s">
        <v>15</v>
      </c>
    </row>
    <row r="117" spans="1:11">
      <c r="A117" s="5" t="s">
        <v>292</v>
      </c>
      <c r="B117" s="6">
        <v>287</v>
      </c>
      <c r="C117" s="6">
        <v>60</v>
      </c>
      <c r="D117" s="6">
        <v>54</v>
      </c>
      <c r="E117" s="6">
        <v>54</v>
      </c>
      <c r="F117" s="6">
        <v>54</v>
      </c>
      <c r="G117" s="8">
        <f t="shared" ref="G117:G121" si="13">K117/B117</f>
        <v>6.6250174216027871</v>
      </c>
      <c r="H117" s="8">
        <f t="shared" ref="H117:H121" si="14">K117/C117</f>
        <v>31.689666666666664</v>
      </c>
      <c r="I117" s="8">
        <f t="shared" ref="I117:I121" si="15">K117/F117</f>
        <v>35.210740740740739</v>
      </c>
      <c r="J117" s="6">
        <v>574</v>
      </c>
      <c r="K117" s="8">
        <f>73.13*F3</f>
        <v>1901.3799999999999</v>
      </c>
    </row>
    <row r="118" spans="1:11">
      <c r="A118" s="5" t="s">
        <v>292</v>
      </c>
      <c r="B118" s="6">
        <v>2577</v>
      </c>
      <c r="C118" s="6">
        <v>1111</v>
      </c>
      <c r="D118" s="6">
        <v>804</v>
      </c>
      <c r="E118" s="6">
        <v>502</v>
      </c>
      <c r="F118" s="6">
        <v>502</v>
      </c>
      <c r="G118" s="8">
        <f t="shared" si="13"/>
        <v>0.81833915405510294</v>
      </c>
      <c r="H118" s="8">
        <f t="shared" si="14"/>
        <v>1.8981638163816383</v>
      </c>
      <c r="I118" s="8">
        <f t="shared" si="15"/>
        <v>4.2009163346613549</v>
      </c>
      <c r="J118" s="6">
        <v>1081</v>
      </c>
      <c r="K118" s="8">
        <f>81.11*F3</f>
        <v>2108.86</v>
      </c>
    </row>
    <row r="119" spans="1:11">
      <c r="A119" s="5" t="s">
        <v>292</v>
      </c>
      <c r="B119" s="6">
        <v>925</v>
      </c>
      <c r="C119" s="6">
        <v>341</v>
      </c>
      <c r="D119" s="6">
        <v>240</v>
      </c>
      <c r="E119" s="6">
        <v>168</v>
      </c>
      <c r="F119" s="6">
        <v>168</v>
      </c>
      <c r="G119" s="8">
        <f t="shared" si="13"/>
        <v>11.474572972972945</v>
      </c>
      <c r="H119" s="8">
        <f t="shared" si="14"/>
        <v>31.1260410557184</v>
      </c>
      <c r="I119" s="8">
        <f t="shared" si="15"/>
        <v>63.17845238095223</v>
      </c>
      <c r="J119" s="6">
        <v>411</v>
      </c>
      <c r="K119" s="8">
        <f>408.229999999999*F3</f>
        <v>10613.979999999974</v>
      </c>
    </row>
    <row r="120" spans="1:11">
      <c r="A120" s="5" t="s">
        <v>292</v>
      </c>
      <c r="B120" s="6">
        <v>1234</v>
      </c>
      <c r="C120" s="6">
        <v>572</v>
      </c>
      <c r="D120" s="6">
        <v>413</v>
      </c>
      <c r="E120" s="6">
        <v>259</v>
      </c>
      <c r="F120" s="6">
        <v>259</v>
      </c>
      <c r="G120" s="8">
        <f t="shared" si="13"/>
        <v>1.1091085899513755</v>
      </c>
      <c r="H120" s="8">
        <f t="shared" si="14"/>
        <v>2.3927272727272682</v>
      </c>
      <c r="I120" s="8">
        <f t="shared" si="15"/>
        <v>5.2843243243243139</v>
      </c>
      <c r="J120" s="6">
        <v>785</v>
      </c>
      <c r="K120" s="8">
        <f>52.6399999999999*F3</f>
        <v>1368.6399999999974</v>
      </c>
    </row>
    <row r="121" spans="1:11" ht="18">
      <c r="A121" s="4" t="s">
        <v>49</v>
      </c>
      <c r="B121" s="10">
        <f>SUM(B117:B120)</f>
        <v>5023</v>
      </c>
      <c r="C121" s="10">
        <f>SUM(C117:C120)</f>
        <v>2084</v>
      </c>
      <c r="D121" s="10">
        <f>SUM(D117:D120)</f>
        <v>1511</v>
      </c>
      <c r="E121" s="10">
        <f>SUM(E117:E120)</f>
        <v>983</v>
      </c>
      <c r="F121" s="10">
        <f>SUM(F117:F120)</f>
        <v>983</v>
      </c>
      <c r="G121" s="12">
        <f t="shared" si="13"/>
        <v>3.183925940672899</v>
      </c>
      <c r="H121" s="12">
        <f t="shared" si="14"/>
        <v>7.6741170825335754</v>
      </c>
      <c r="I121" s="12">
        <f t="shared" si="15"/>
        <v>16.26944048830109</v>
      </c>
      <c r="J121" s="10">
        <f>SUM(J117:J120)</f>
        <v>2851</v>
      </c>
      <c r="K121" s="12">
        <f>SUM(K117:K120)</f>
        <v>15992.859999999971</v>
      </c>
    </row>
    <row r="122" spans="1:11" ht="59" customHeight="1"/>
    <row r="123" spans="1:11" ht="33" customHeight="1">
      <c r="A123" s="4" t="s">
        <v>44</v>
      </c>
      <c r="B123" s="4" t="s">
        <v>65</v>
      </c>
      <c r="C123" s="4" t="s">
        <v>66</v>
      </c>
      <c r="D123" s="4" t="s">
        <v>67</v>
      </c>
      <c r="E123" s="4" t="s">
        <v>68</v>
      </c>
      <c r="F123" s="4" t="s">
        <v>69</v>
      </c>
      <c r="G123" s="4" t="s">
        <v>70</v>
      </c>
      <c r="H123" s="4" t="s">
        <v>71</v>
      </c>
      <c r="I123" s="4" t="s">
        <v>72</v>
      </c>
      <c r="J123" s="4" t="s">
        <v>73</v>
      </c>
      <c r="K123" s="4" t="s">
        <v>74</v>
      </c>
    </row>
    <row r="124" spans="1:11">
      <c r="A124" s="5" t="s">
        <v>292</v>
      </c>
      <c r="B124" s="6">
        <v>290</v>
      </c>
      <c r="C124" s="6">
        <v>133</v>
      </c>
      <c r="D124" s="6">
        <v>71</v>
      </c>
      <c r="E124" s="6">
        <v>53</v>
      </c>
      <c r="F124" s="9">
        <v>5360.4099999999962</v>
      </c>
      <c r="G124" s="9">
        <f>E124/B117</f>
        <v>0.18466898954703834</v>
      </c>
      <c r="H124" s="9">
        <f>B124/B117</f>
        <v>1.0104529616724738</v>
      </c>
      <c r="I124" s="9">
        <f>C124/B117</f>
        <v>0.46341463414634149</v>
      </c>
      <c r="J124" s="9">
        <f t="shared" ref="J124" si="16">D124/C124</f>
        <v>0.53383458646616544</v>
      </c>
      <c r="K124" s="9">
        <f t="shared" ref="K124" si="17">E124/D124</f>
        <v>0.74647887323943662</v>
      </c>
    </row>
    <row r="125" spans="1:11">
      <c r="A125" s="5" t="s">
        <v>292</v>
      </c>
      <c r="B125" s="6">
        <v>1916</v>
      </c>
      <c r="C125" s="6">
        <v>1114</v>
      </c>
      <c r="D125" s="6">
        <v>775</v>
      </c>
      <c r="E125" s="6">
        <v>483</v>
      </c>
      <c r="F125" s="9">
        <v>6159.4300000000048</v>
      </c>
      <c r="G125" s="9">
        <f t="shared" ref="G125:G127" si="18">E125/B118</f>
        <v>0.18742724097788127</v>
      </c>
      <c r="H125" s="9">
        <f t="shared" ref="H125:H127" si="19">B125/B118</f>
        <v>0.74350019402405898</v>
      </c>
      <c r="I125" s="9">
        <f t="shared" ref="I125:I127" si="20">C125/B118</f>
        <v>0.43228560341482342</v>
      </c>
      <c r="J125" s="9">
        <f t="shared" ref="J125:J127" si="21">D125/C125</f>
        <v>0.69569120287253139</v>
      </c>
      <c r="K125" s="9">
        <f t="shared" ref="K125:K127" si="22">E125/D125</f>
        <v>0.62322580645161285</v>
      </c>
    </row>
    <row r="126" spans="1:11">
      <c r="A126" s="5" t="s">
        <v>292</v>
      </c>
      <c r="B126" s="6">
        <v>745</v>
      </c>
      <c r="C126" s="6">
        <v>383</v>
      </c>
      <c r="D126" s="6">
        <v>240</v>
      </c>
      <c r="E126" s="6">
        <v>152</v>
      </c>
      <c r="F126" s="9">
        <v>3482.950000000003</v>
      </c>
      <c r="G126" s="9">
        <f t="shared" si="18"/>
        <v>0.16432432432432431</v>
      </c>
      <c r="H126" s="9">
        <f t="shared" si="19"/>
        <v>0.80540540540540539</v>
      </c>
      <c r="I126" s="9">
        <f t="shared" si="20"/>
        <v>0.41405405405405404</v>
      </c>
      <c r="J126" s="9">
        <f t="shared" si="21"/>
        <v>0.62663185378590081</v>
      </c>
      <c r="K126" s="9">
        <f t="shared" si="22"/>
        <v>0.6333333333333333</v>
      </c>
    </row>
    <row r="127" spans="1:11">
      <c r="A127" s="5" t="s">
        <v>292</v>
      </c>
      <c r="B127" s="6">
        <v>926</v>
      </c>
      <c r="C127" s="6">
        <v>525</v>
      </c>
      <c r="D127" s="6">
        <v>370</v>
      </c>
      <c r="E127" s="6">
        <v>244</v>
      </c>
      <c r="F127" s="9">
        <v>4249.5299999999979</v>
      </c>
      <c r="G127" s="9">
        <f t="shared" si="18"/>
        <v>0.19773095623987033</v>
      </c>
      <c r="H127" s="9">
        <f t="shared" si="19"/>
        <v>0.75040518638573739</v>
      </c>
      <c r="I127" s="9">
        <f t="shared" si="20"/>
        <v>0.42544570502431117</v>
      </c>
      <c r="J127" s="9">
        <f t="shared" si="21"/>
        <v>0.70476190476190481</v>
      </c>
      <c r="K127" s="9">
        <f t="shared" si="22"/>
        <v>0.6594594594594595</v>
      </c>
    </row>
    <row r="128" spans="1:11" ht="18">
      <c r="A128" s="4" t="s">
        <v>49</v>
      </c>
      <c r="B128" s="10">
        <f>SUM(B124:B127)</f>
        <v>3877</v>
      </c>
      <c r="C128" s="10">
        <f>SUM(C124:C127)</f>
        <v>2155</v>
      </c>
      <c r="D128" s="10">
        <f>SUM(D124:D127)</f>
        <v>1456</v>
      </c>
      <c r="E128" s="10">
        <f>SUM(E124:E127)</f>
        <v>932</v>
      </c>
      <c r="F128" s="17"/>
      <c r="G128" s="17">
        <f>E128/B121</f>
        <v>0.18554648616364722</v>
      </c>
      <c r="H128" s="17">
        <f>B128/B121</f>
        <v>0.77184949233525779</v>
      </c>
      <c r="I128" s="17">
        <f>C128/B121</f>
        <v>0.42902647820027873</v>
      </c>
      <c r="J128" s="17">
        <f>D128/C121</f>
        <v>0.69865642994241839</v>
      </c>
      <c r="K128" s="17">
        <f>E128/D121</f>
        <v>0.61681005956320323</v>
      </c>
    </row>
    <row r="129" spans="1:12" ht="59" customHeight="1"/>
    <row r="131" spans="1:12" ht="41" customHeight="1">
      <c r="A131" s="3" t="s">
        <v>75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36" customHeight="1"/>
    <row r="133" spans="1:12" ht="33" customHeight="1">
      <c r="A133" s="4" t="s">
        <v>76</v>
      </c>
      <c r="B133" s="4" t="s">
        <v>6</v>
      </c>
      <c r="C133" s="4" t="s">
        <v>7</v>
      </c>
      <c r="D133" s="4" t="s">
        <v>8</v>
      </c>
      <c r="E133" s="4" t="s">
        <v>9</v>
      </c>
      <c r="F133" s="4" t="s">
        <v>10</v>
      </c>
      <c r="G133" s="4" t="s">
        <v>11</v>
      </c>
      <c r="H133" s="4" t="s">
        <v>12</v>
      </c>
      <c r="I133" s="4" t="s">
        <v>13</v>
      </c>
      <c r="J133" s="4" t="s">
        <v>14</v>
      </c>
      <c r="K133" s="4" t="s">
        <v>15</v>
      </c>
    </row>
    <row r="134" spans="1:12">
      <c r="A134" s="5" t="s">
        <v>77</v>
      </c>
      <c r="B134" s="6">
        <v>12456456</v>
      </c>
      <c r="C134" s="7">
        <f>D134/B134</f>
        <v>5.3331059813481456E-2</v>
      </c>
      <c r="D134" s="6">
        <v>664316</v>
      </c>
      <c r="E134" s="8">
        <f>K134/(D134/1000)</f>
        <v>163.68059778780056</v>
      </c>
      <c r="F134" s="6">
        <v>14549</v>
      </c>
      <c r="G134" s="8">
        <f>K134/F134</f>
        <v>7.4737535225789076</v>
      </c>
      <c r="H134" s="9">
        <f>F134/D134</f>
        <v>2.1900721945580116E-2</v>
      </c>
      <c r="I134" s="6">
        <v>46844</v>
      </c>
      <c r="J134" s="8">
        <f>K134/(I134/1000)</f>
        <v>2321.2287592861521</v>
      </c>
      <c r="K134" s="8">
        <f>4182.14000000002*F3</f>
        <v>108735.64000000052</v>
      </c>
    </row>
    <row r="135" spans="1:12" ht="59" customHeight="1"/>
    <row r="137" spans="1:12" ht="41" customHeight="1">
      <c r="A137" s="3" t="s">
        <v>78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36" customHeight="1"/>
    <row r="139" spans="1:12" ht="33" customHeight="1">
      <c r="A139" s="4" t="s">
        <v>79</v>
      </c>
      <c r="B139" s="4" t="s">
        <v>80</v>
      </c>
      <c r="C139" s="4" t="s">
        <v>81</v>
      </c>
      <c r="D139" s="4" t="s">
        <v>82</v>
      </c>
      <c r="E139" s="4" t="s">
        <v>83</v>
      </c>
      <c r="F139" s="4" t="s">
        <v>84</v>
      </c>
      <c r="G139" s="4" t="s">
        <v>85</v>
      </c>
      <c r="H139" s="4" t="s">
        <v>86</v>
      </c>
      <c r="I139" s="4" t="s">
        <v>87</v>
      </c>
      <c r="J139" s="4" t="s">
        <v>88</v>
      </c>
      <c r="K139" s="4" t="s">
        <v>15</v>
      </c>
    </row>
    <row r="140" spans="1:12">
      <c r="A140" s="5" t="s">
        <v>292</v>
      </c>
      <c r="B140" s="6">
        <v>53</v>
      </c>
      <c r="C140" s="8">
        <f t="shared" ref="C140:C146" si="23">K140/B140</f>
        <v>35.875094339622642</v>
      </c>
      <c r="D140" s="6">
        <v>337</v>
      </c>
      <c r="E140" s="6">
        <v>10</v>
      </c>
      <c r="F140" s="6">
        <v>33</v>
      </c>
      <c r="G140" s="6">
        <v>9</v>
      </c>
      <c r="H140" s="6">
        <v>338</v>
      </c>
      <c r="I140" s="6">
        <v>1</v>
      </c>
      <c r="J140" s="6">
        <v>12</v>
      </c>
      <c r="K140" s="8">
        <f>73.13*F3</f>
        <v>1901.3799999999999</v>
      </c>
    </row>
    <row r="141" spans="1:12">
      <c r="A141" s="5" t="s">
        <v>292</v>
      </c>
      <c r="B141" s="6">
        <v>137</v>
      </c>
      <c r="C141" s="8">
        <f t="shared" si="23"/>
        <v>15.393138686131389</v>
      </c>
      <c r="D141" s="6">
        <v>2604</v>
      </c>
      <c r="E141" s="6">
        <v>12</v>
      </c>
      <c r="F141" s="6">
        <v>2</v>
      </c>
      <c r="G141" s="6">
        <v>8</v>
      </c>
      <c r="H141" s="6">
        <v>2604</v>
      </c>
      <c r="I141" s="6">
        <v>1</v>
      </c>
      <c r="J141" s="6">
        <v>15</v>
      </c>
      <c r="K141" s="8">
        <f>81.11*F3</f>
        <v>2108.86</v>
      </c>
    </row>
    <row r="142" spans="1:12">
      <c r="A142" s="5" t="s">
        <v>292</v>
      </c>
      <c r="B142" s="6">
        <v>1207</v>
      </c>
      <c r="C142" s="8">
        <f t="shared" si="23"/>
        <v>8.7936868268433912</v>
      </c>
      <c r="D142" s="6">
        <v>2004</v>
      </c>
      <c r="E142" s="6">
        <v>10</v>
      </c>
      <c r="F142" s="6">
        <v>5</v>
      </c>
      <c r="G142" s="6">
        <v>4</v>
      </c>
      <c r="H142" s="6">
        <v>2010</v>
      </c>
      <c r="I142" s="6">
        <v>14</v>
      </c>
      <c r="J142" s="6">
        <v>16</v>
      </c>
      <c r="K142" s="8">
        <f>408.229999999999*F3</f>
        <v>10613.979999999974</v>
      </c>
    </row>
    <row r="143" spans="1:12">
      <c r="A143" s="5" t="s">
        <v>292</v>
      </c>
      <c r="B143" s="6">
        <v>80</v>
      </c>
      <c r="C143" s="8">
        <f t="shared" si="23"/>
        <v>17.107999999999969</v>
      </c>
      <c r="D143" s="6">
        <v>1236</v>
      </c>
      <c r="E143" s="6">
        <v>12</v>
      </c>
      <c r="F143" s="6">
        <v>89</v>
      </c>
      <c r="G143" s="6">
        <v>5</v>
      </c>
      <c r="H143" s="6">
        <v>1236</v>
      </c>
      <c r="I143" s="6">
        <v>0</v>
      </c>
      <c r="J143" s="6">
        <v>18</v>
      </c>
      <c r="K143" s="8">
        <f>52.6399999999999*F3</f>
        <v>1368.6399999999974</v>
      </c>
    </row>
    <row r="144" spans="1:12">
      <c r="A144" s="5" t="s">
        <v>292</v>
      </c>
      <c r="B144" s="6">
        <v>3759</v>
      </c>
      <c r="C144" s="8">
        <f t="shared" si="23"/>
        <v>6.2060388401170377</v>
      </c>
      <c r="D144" s="6">
        <v>25567</v>
      </c>
      <c r="E144" s="6">
        <v>10</v>
      </c>
      <c r="F144" s="6">
        <v>1</v>
      </c>
      <c r="G144" s="6">
        <v>2</v>
      </c>
      <c r="H144" s="6">
        <v>25590</v>
      </c>
      <c r="I144" s="6">
        <v>47</v>
      </c>
      <c r="J144" s="6">
        <v>13</v>
      </c>
      <c r="K144" s="8">
        <f>897.249999999998*F3</f>
        <v>23328.499999999945</v>
      </c>
    </row>
    <row r="145" spans="1:12">
      <c r="A145" s="5" t="s">
        <v>292</v>
      </c>
      <c r="B145" s="6">
        <v>27</v>
      </c>
      <c r="C145" s="8">
        <f t="shared" si="23"/>
        <v>101.7562962962963</v>
      </c>
      <c r="D145" s="6">
        <v>25</v>
      </c>
      <c r="E145" s="6">
        <v>12</v>
      </c>
      <c r="F145" s="6">
        <v>33</v>
      </c>
      <c r="G145" s="6">
        <v>1</v>
      </c>
      <c r="H145" s="6">
        <v>27</v>
      </c>
      <c r="I145" s="6">
        <v>2</v>
      </c>
      <c r="J145" s="6">
        <v>11</v>
      </c>
      <c r="K145" s="8">
        <f>105.67*F3</f>
        <v>2747.42</v>
      </c>
    </row>
    <row r="146" spans="1:12" ht="18">
      <c r="A146" s="4" t="s">
        <v>49</v>
      </c>
      <c r="B146" s="10">
        <f>SUM(B140:B145)</f>
        <v>5263</v>
      </c>
      <c r="C146" s="12">
        <f t="shared" si="23"/>
        <v>7.9933079992399607</v>
      </c>
      <c r="D146" s="10">
        <f>SUM(D140:D145)</f>
        <v>31773</v>
      </c>
      <c r="E146" s="10">
        <f>SUM(E140:E145)</f>
        <v>66</v>
      </c>
      <c r="F146" s="10">
        <f>SUM(F140:F145)</f>
        <v>163</v>
      </c>
      <c r="G146" s="10">
        <f>SUM(G140:G145)</f>
        <v>29</v>
      </c>
      <c r="H146" s="10">
        <f>SUM(H140:H145)</f>
        <v>31805</v>
      </c>
      <c r="I146" s="10">
        <f>SUM(I140:I145)</f>
        <v>65</v>
      </c>
      <c r="J146" s="10">
        <f>SUM(J140:J145)</f>
        <v>85</v>
      </c>
      <c r="K146" s="12">
        <f>SUM(K140:K145)</f>
        <v>42068.779999999912</v>
      </c>
    </row>
    <row r="147" spans="1:12" ht="59" customHeight="1"/>
    <row r="149" spans="1:12" ht="41" customHeight="1">
      <c r="A149" s="3" t="s">
        <v>89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36" customHeight="1"/>
    <row r="151" spans="1:12" ht="33" customHeight="1">
      <c r="A151" s="4" t="s">
        <v>79</v>
      </c>
      <c r="B151" s="4" t="s">
        <v>90</v>
      </c>
      <c r="C151" s="4" t="s">
        <v>91</v>
      </c>
      <c r="D151" s="4" t="s">
        <v>92</v>
      </c>
    </row>
    <row r="152" spans="1:12">
      <c r="A152" s="5" t="s">
        <v>292</v>
      </c>
      <c r="B152" s="6">
        <v>7</v>
      </c>
      <c r="C152" s="5">
        <v>1</v>
      </c>
      <c r="D152" s="5">
        <v>1</v>
      </c>
    </row>
    <row r="153" spans="1:12">
      <c r="A153" s="5" t="s">
        <v>292</v>
      </c>
      <c r="B153" s="6">
        <v>5</v>
      </c>
      <c r="C153" s="5">
        <v>1</v>
      </c>
      <c r="D153" s="5">
        <v>1</v>
      </c>
    </row>
    <row r="154" spans="1:12">
      <c r="A154" s="5" t="s">
        <v>292</v>
      </c>
      <c r="B154" s="6">
        <v>6</v>
      </c>
      <c r="C154" s="5">
        <v>1</v>
      </c>
      <c r="D154" s="5">
        <v>1</v>
      </c>
    </row>
    <row r="155" spans="1:12">
      <c r="A155" s="5" t="s">
        <v>292</v>
      </c>
      <c r="B155" s="6">
        <v>8</v>
      </c>
      <c r="C155" s="5">
        <v>1</v>
      </c>
      <c r="D155" s="5">
        <v>1</v>
      </c>
    </row>
    <row r="156" spans="1:12">
      <c r="A156" s="5" t="s">
        <v>292</v>
      </c>
      <c r="B156" s="6">
        <v>5</v>
      </c>
      <c r="C156" s="5">
        <v>1</v>
      </c>
      <c r="D156" s="5">
        <v>1</v>
      </c>
    </row>
    <row r="157" spans="1:12">
      <c r="A157" s="5" t="s">
        <v>292</v>
      </c>
      <c r="B157" s="6">
        <v>2</v>
      </c>
      <c r="C157" s="5">
        <v>1</v>
      </c>
      <c r="D157" s="5">
        <v>1</v>
      </c>
    </row>
    <row r="158" spans="1:12" ht="59" customHeight="1"/>
    <row r="160" spans="1:12" ht="41" customHeight="1">
      <c r="A160" s="3" t="s">
        <v>93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36" customHeight="1"/>
    <row r="162" spans="1:12" ht="33" customHeight="1">
      <c r="A162" s="4" t="s">
        <v>79</v>
      </c>
      <c r="B162" s="4" t="s">
        <v>94</v>
      </c>
      <c r="C162" s="4" t="s">
        <v>95</v>
      </c>
    </row>
    <row r="163" spans="1:12">
      <c r="A163" s="5" t="s">
        <v>292</v>
      </c>
      <c r="B163" s="9">
        <v>0</v>
      </c>
      <c r="C163" s="6">
        <v>0</v>
      </c>
    </row>
    <row r="164" spans="1:12">
      <c r="A164" s="5" t="s">
        <v>292</v>
      </c>
      <c r="B164" s="9">
        <v>0</v>
      </c>
      <c r="C164" s="6">
        <v>0</v>
      </c>
    </row>
    <row r="165" spans="1:12">
      <c r="A165" s="5" t="s">
        <v>292</v>
      </c>
      <c r="B165" s="9">
        <v>0</v>
      </c>
      <c r="C165" s="6">
        <v>0</v>
      </c>
    </row>
    <row r="166" spans="1:12">
      <c r="A166" s="5" t="s">
        <v>292</v>
      </c>
      <c r="B166" s="9">
        <v>0</v>
      </c>
      <c r="C166" s="6">
        <v>0</v>
      </c>
    </row>
    <row r="167" spans="1:12">
      <c r="A167" s="5" t="s">
        <v>292</v>
      </c>
      <c r="B167" s="9">
        <v>0</v>
      </c>
      <c r="C167" s="6">
        <v>0</v>
      </c>
    </row>
    <row r="168" spans="1:12">
      <c r="A168" s="5" t="s">
        <v>292</v>
      </c>
      <c r="B168" s="9">
        <v>0</v>
      </c>
      <c r="C168" s="6">
        <v>0</v>
      </c>
    </row>
    <row r="169" spans="1:12" ht="18">
      <c r="A169" s="4" t="s">
        <v>49</v>
      </c>
      <c r="B169" s="17">
        <f>AVERAGE(B163:B168)</f>
        <v>0</v>
      </c>
      <c r="C169" s="10">
        <f>SUM(C163:C168)</f>
        <v>0</v>
      </c>
    </row>
    <row r="170" spans="1:12" ht="59" customHeight="1"/>
    <row r="172" spans="1:12" ht="41" customHeight="1">
      <c r="A172" s="3" t="s">
        <v>96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36" customHeight="1"/>
    <row r="174" spans="1:12" ht="33" customHeight="1">
      <c r="A174" s="4" t="s">
        <v>79</v>
      </c>
    </row>
    <row r="175" spans="1:12">
      <c r="A175" s="5" t="s">
        <v>292</v>
      </c>
    </row>
    <row r="176" spans="1:12">
      <c r="A176" s="5" t="s">
        <v>292</v>
      </c>
    </row>
    <row r="177" spans="1:12">
      <c r="A177" s="5" t="s">
        <v>292</v>
      </c>
    </row>
    <row r="178" spans="1:12">
      <c r="A178" s="5" t="s">
        <v>292</v>
      </c>
    </row>
    <row r="179" spans="1:12">
      <c r="A179" s="5" t="s">
        <v>292</v>
      </c>
    </row>
    <row r="180" spans="1:12">
      <c r="A180" s="5" t="s">
        <v>292</v>
      </c>
    </row>
    <row r="181" spans="1:12" ht="18">
      <c r="A181" s="4" t="s">
        <v>49</v>
      </c>
    </row>
    <row r="182" spans="1:12" ht="59" customHeight="1"/>
    <row r="184" spans="1:12" ht="41" customHeight="1">
      <c r="A184" s="3" t="s">
        <v>97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36" customHeight="1"/>
    <row r="186" spans="1:12" ht="33" customHeight="1">
      <c r="A186" s="4" t="s">
        <v>79</v>
      </c>
      <c r="B186" s="4" t="s">
        <v>98</v>
      </c>
      <c r="C186" s="4" t="s">
        <v>99</v>
      </c>
    </row>
    <row r="187" spans="1:12">
      <c r="A187" s="5" t="s">
        <v>292</v>
      </c>
      <c r="B187" s="7">
        <v>0</v>
      </c>
      <c r="C187" s="6">
        <v>0</v>
      </c>
    </row>
    <row r="188" spans="1:12">
      <c r="A188" s="5" t="s">
        <v>292</v>
      </c>
      <c r="B188" s="7">
        <v>0</v>
      </c>
      <c r="C188" s="6">
        <v>0</v>
      </c>
    </row>
    <row r="189" spans="1:12">
      <c r="A189" s="5" t="s">
        <v>292</v>
      </c>
      <c r="B189" s="7">
        <v>0</v>
      </c>
      <c r="C189" s="6">
        <v>0</v>
      </c>
    </row>
    <row r="190" spans="1:12">
      <c r="A190" s="5" t="s">
        <v>292</v>
      </c>
      <c r="B190" s="7">
        <v>0</v>
      </c>
      <c r="C190" s="6">
        <v>0</v>
      </c>
    </row>
    <row r="191" spans="1:12">
      <c r="A191" s="5" t="s">
        <v>292</v>
      </c>
      <c r="B191" s="7">
        <v>0</v>
      </c>
      <c r="C191" s="6">
        <v>0</v>
      </c>
    </row>
    <row r="192" spans="1:12">
      <c r="A192" s="5" t="s">
        <v>292</v>
      </c>
      <c r="B192" s="7">
        <v>0</v>
      </c>
      <c r="C192" s="6">
        <v>0</v>
      </c>
    </row>
    <row r="193" spans="1:12" ht="18">
      <c r="A193" s="4" t="s">
        <v>49</v>
      </c>
      <c r="B193" s="11">
        <f>AVERAGE(B187:B192)</f>
        <v>0</v>
      </c>
      <c r="C193" s="10">
        <f>SUM(C187:C192)</f>
        <v>0</v>
      </c>
    </row>
    <row r="194" spans="1:12" ht="59" customHeight="1"/>
    <row r="196" spans="1:12" ht="41" customHeight="1">
      <c r="A196" s="3" t="s">
        <v>100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36" customHeight="1"/>
    <row r="198" spans="1:12" ht="33" customHeight="1">
      <c r="A198" s="4" t="s">
        <v>79</v>
      </c>
      <c r="B198" s="4" t="s">
        <v>101</v>
      </c>
      <c r="C198" s="4" t="s">
        <v>102</v>
      </c>
      <c r="D198" s="4" t="s">
        <v>103</v>
      </c>
      <c r="E198" s="4" t="s">
        <v>104</v>
      </c>
      <c r="F198" s="4" t="s">
        <v>105</v>
      </c>
      <c r="G198" s="4" t="s">
        <v>106</v>
      </c>
      <c r="H198" s="4" t="s">
        <v>107</v>
      </c>
      <c r="I198" s="4" t="s">
        <v>108</v>
      </c>
      <c r="J198" s="4" t="s">
        <v>109</v>
      </c>
      <c r="K198" s="4" t="s">
        <v>110</v>
      </c>
    </row>
    <row r="199" spans="1:12">
      <c r="A199" s="5" t="s">
        <v>292</v>
      </c>
      <c r="B199" s="18">
        <v>446</v>
      </c>
      <c r="C199" s="18">
        <v>404</v>
      </c>
      <c r="D199" s="18">
        <v>5</v>
      </c>
      <c r="E199" s="18">
        <v>3</v>
      </c>
      <c r="F199" s="18">
        <v>404</v>
      </c>
      <c r="G199" s="8">
        <f>0*F3</f>
        <v>0</v>
      </c>
      <c r="H199" s="9">
        <f>B199/9183</f>
        <v>4.8568006098224981E-2</v>
      </c>
      <c r="I199" s="9">
        <f>D199/70</f>
        <v>7.1428571428571425E-2</v>
      </c>
      <c r="J199" s="9">
        <f>F199/7694</f>
        <v>5.2508448141408891E-2</v>
      </c>
      <c r="K199" s="9">
        <f>G199/(73.13*F3)</f>
        <v>0</v>
      </c>
    </row>
    <row r="200" spans="1:12">
      <c r="A200" s="5" t="s">
        <v>292</v>
      </c>
      <c r="B200" s="18">
        <v>203</v>
      </c>
      <c r="C200" s="18">
        <v>202</v>
      </c>
      <c r="D200" s="18">
        <v>3</v>
      </c>
      <c r="E200" s="18">
        <v>3</v>
      </c>
      <c r="F200" s="18">
        <v>202</v>
      </c>
      <c r="G200" s="8">
        <f>0*F3</f>
        <v>0</v>
      </c>
      <c r="H200" s="9">
        <f>B200/10926</f>
        <v>1.8579535053999632E-2</v>
      </c>
      <c r="I200" s="9">
        <f>D200/96</f>
        <v>3.125E-2</v>
      </c>
      <c r="J200" s="9">
        <f>F200/10516</f>
        <v>1.9208824648155192E-2</v>
      </c>
      <c r="K200" s="9">
        <f>G200/(81.11*F3)</f>
        <v>0</v>
      </c>
    </row>
    <row r="201" spans="1:12">
      <c r="A201" s="5" t="s">
        <v>292</v>
      </c>
      <c r="B201" s="18">
        <v>1069</v>
      </c>
      <c r="C201" s="18">
        <v>1003</v>
      </c>
      <c r="D201" s="18">
        <v>37</v>
      </c>
      <c r="E201" s="18">
        <v>29</v>
      </c>
      <c r="F201" s="18">
        <v>1003</v>
      </c>
      <c r="G201" s="8">
        <f>0*F3</f>
        <v>0</v>
      </c>
      <c r="H201" s="9">
        <f>B201/39223</f>
        <v>2.7254417051219948E-2</v>
      </c>
      <c r="I201" s="9">
        <f>D201/1733</f>
        <v>2.1350259665320254E-2</v>
      </c>
      <c r="J201" s="9">
        <f>F201/37129</f>
        <v>2.701392442565111E-2</v>
      </c>
      <c r="K201" s="9">
        <f>G201/(408.229999999999*F3)</f>
        <v>0</v>
      </c>
    </row>
    <row r="202" spans="1:12">
      <c r="A202" s="5" t="s">
        <v>292</v>
      </c>
      <c r="B202" s="18">
        <v>77</v>
      </c>
      <c r="C202" s="18">
        <v>74</v>
      </c>
      <c r="D202" s="18">
        <v>1</v>
      </c>
      <c r="E202" s="18">
        <v>1</v>
      </c>
      <c r="F202" s="18">
        <v>74</v>
      </c>
      <c r="G202" s="8">
        <f>0*F3</f>
        <v>0</v>
      </c>
      <c r="H202" s="9">
        <f>B202/5804</f>
        <v>1.326671261199173E-2</v>
      </c>
      <c r="I202" s="9">
        <f>D202/70</f>
        <v>1.4285714285714285E-2</v>
      </c>
      <c r="J202" s="9">
        <f>F202/5707</f>
        <v>1.2966532328719117E-2</v>
      </c>
      <c r="K202" s="9">
        <f>G202/(52.6399999999999*F3)</f>
        <v>0</v>
      </c>
    </row>
    <row r="203" spans="1:12">
      <c r="A203" s="5" t="s">
        <v>292</v>
      </c>
      <c r="B203" s="18">
        <v>34038</v>
      </c>
      <c r="C203" s="18">
        <v>31969</v>
      </c>
      <c r="D203" s="18">
        <v>693</v>
      </c>
      <c r="E203" s="18">
        <v>621</v>
      </c>
      <c r="F203" s="18">
        <v>31969</v>
      </c>
      <c r="G203" s="8">
        <f>0*F3</f>
        <v>0</v>
      </c>
      <c r="H203" s="9">
        <f>B203/175653</f>
        <v>0.1937797817287493</v>
      </c>
      <c r="I203" s="9">
        <f>D203/4573</f>
        <v>0.1515416575552154</v>
      </c>
      <c r="J203" s="9">
        <f>F203/167587</f>
        <v>0.19076061985714882</v>
      </c>
      <c r="K203" s="9">
        <f>G203/(897.249999999998*F3)</f>
        <v>0</v>
      </c>
    </row>
    <row r="204" spans="1:12" ht="18">
      <c r="A204" s="4" t="s">
        <v>49</v>
      </c>
      <c r="B204" s="19">
        <f>SUM(B199:B203)</f>
        <v>35833</v>
      </c>
      <c r="C204" s="19">
        <f>SUM(C199:C203)</f>
        <v>33652</v>
      </c>
      <c r="D204" s="19">
        <f>SUM(D199:D203)</f>
        <v>739</v>
      </c>
      <c r="E204" s="19">
        <f>SUM(E199:E203)</f>
        <v>657</v>
      </c>
      <c r="F204" s="19">
        <f>SUM(F199:F203)</f>
        <v>33652</v>
      </c>
      <c r="G204" s="12">
        <f>SUM(G199:G203)</f>
        <v>0</v>
      </c>
      <c r="H204" s="17">
        <f>AVERAGE(H199:H203)</f>
        <v>6.0289690508837125E-2</v>
      </c>
      <c r="I204" s="17">
        <f>AVERAGE(I199:I203)</f>
        <v>5.7971240586964276E-2</v>
      </c>
      <c r="J204" s="17">
        <f>AVERAGE(J199:J203)</f>
        <v>6.0491669880216627E-2</v>
      </c>
      <c r="K204" s="17">
        <f>AVERAGE(K199:K203)</f>
        <v>0</v>
      </c>
    </row>
    <row r="205" spans="1:12" ht="59" customHeight="1"/>
    <row r="207" spans="1:12" ht="41" customHeight="1">
      <c r="A207" s="3" t="s">
        <v>10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36" customHeight="1"/>
    <row r="209" spans="1:12" ht="33" customHeight="1">
      <c r="A209" s="4" t="s">
        <v>79</v>
      </c>
      <c r="B209" s="4" t="s">
        <v>10</v>
      </c>
      <c r="C209" s="4" t="s">
        <v>111</v>
      </c>
      <c r="D209" s="4" t="s">
        <v>112</v>
      </c>
      <c r="E209" s="4" t="s">
        <v>113</v>
      </c>
      <c r="F209" s="4" t="s">
        <v>103</v>
      </c>
      <c r="G209" s="4" t="s">
        <v>114</v>
      </c>
      <c r="H209" s="4" t="s">
        <v>115</v>
      </c>
    </row>
    <row r="210" spans="1:12">
      <c r="A210" s="5" t="s">
        <v>292</v>
      </c>
      <c r="B210" s="6">
        <v>70</v>
      </c>
      <c r="C210" s="6">
        <v>67</v>
      </c>
      <c r="D210" s="6">
        <v>44</v>
      </c>
      <c r="E210" s="6">
        <v>43</v>
      </c>
      <c r="F210" s="6">
        <v>5</v>
      </c>
      <c r="G210" s="6">
        <v>43</v>
      </c>
      <c r="H210" s="6">
        <v>0</v>
      </c>
    </row>
    <row r="211" spans="1:12">
      <c r="A211" s="5" t="s">
        <v>292</v>
      </c>
      <c r="B211" s="6">
        <v>96</v>
      </c>
      <c r="C211" s="6">
        <v>90</v>
      </c>
      <c r="D211" s="6">
        <v>55</v>
      </c>
      <c r="E211" s="6">
        <v>54</v>
      </c>
      <c r="F211" s="6">
        <v>3</v>
      </c>
      <c r="G211" s="6">
        <v>54</v>
      </c>
      <c r="H211" s="6">
        <v>0</v>
      </c>
    </row>
    <row r="212" spans="1:12">
      <c r="A212" s="5" t="s">
        <v>292</v>
      </c>
      <c r="B212" s="6">
        <v>1733</v>
      </c>
      <c r="C212" s="6">
        <v>1453</v>
      </c>
      <c r="D212" s="6">
        <v>1115</v>
      </c>
      <c r="E212" s="6">
        <v>1057</v>
      </c>
      <c r="F212" s="6">
        <v>37</v>
      </c>
      <c r="G212" s="6">
        <v>1057</v>
      </c>
      <c r="H212" s="6">
        <v>0</v>
      </c>
    </row>
    <row r="213" spans="1:12">
      <c r="A213" s="5" t="s">
        <v>292</v>
      </c>
      <c r="B213" s="6">
        <v>70</v>
      </c>
      <c r="C213" s="6">
        <v>62</v>
      </c>
      <c r="D213" s="6">
        <v>16</v>
      </c>
      <c r="E213" s="6">
        <v>16</v>
      </c>
      <c r="F213" s="6">
        <v>1</v>
      </c>
      <c r="G213" s="6">
        <v>16</v>
      </c>
      <c r="H213" s="6">
        <v>0</v>
      </c>
    </row>
    <row r="214" spans="1:12">
      <c r="A214" s="5" t="s">
        <v>292</v>
      </c>
      <c r="B214" s="6">
        <v>4573</v>
      </c>
      <c r="C214" s="6">
        <v>3992</v>
      </c>
      <c r="D214" s="6">
        <v>1552</v>
      </c>
      <c r="E214" s="6">
        <v>1493</v>
      </c>
      <c r="F214" s="6">
        <v>693</v>
      </c>
      <c r="G214" s="6">
        <v>1493</v>
      </c>
      <c r="H214" s="6">
        <v>0</v>
      </c>
    </row>
    <row r="215" spans="1:12" ht="18">
      <c r="A215" s="4" t="s">
        <v>49</v>
      </c>
      <c r="B215" s="10">
        <f>SUM(B210:B214)</f>
        <v>6542</v>
      </c>
      <c r="C215" s="10">
        <f>SUM(C210:C214)</f>
        <v>5664</v>
      </c>
      <c r="D215" s="10">
        <f>SUM(D210:D214)</f>
        <v>2782</v>
      </c>
      <c r="E215" s="10">
        <f>SUM(E210:E214)</f>
        <v>2663</v>
      </c>
      <c r="F215" s="10">
        <f>SUM(F210:F214)</f>
        <v>739</v>
      </c>
      <c r="G215" s="10">
        <f>SUM(G210:G214)</f>
        <v>2663</v>
      </c>
      <c r="H215" s="10">
        <f>SUM(H210:H214)</f>
        <v>0</v>
      </c>
    </row>
    <row r="216" spans="1:12" ht="59" customHeight="1"/>
    <row r="218" spans="1:12" ht="41" customHeight="1">
      <c r="A218" s="3" t="s">
        <v>116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36" customHeight="1"/>
    <row r="220" spans="1:12" ht="33" customHeight="1">
      <c r="A220" s="4" t="s">
        <v>117</v>
      </c>
      <c r="B220" s="4" t="s">
        <v>118</v>
      </c>
    </row>
    <row r="221" spans="1:12">
      <c r="A221" s="5" t="s">
        <v>119</v>
      </c>
      <c r="B221" s="6">
        <v>196</v>
      </c>
    </row>
    <row r="222" spans="1:12">
      <c r="A222" s="5" t="s">
        <v>120</v>
      </c>
      <c r="B222" s="6">
        <v>23</v>
      </c>
    </row>
    <row r="223" spans="1:12">
      <c r="A223" s="5" t="s">
        <v>121</v>
      </c>
      <c r="B223" s="6">
        <v>3336</v>
      </c>
    </row>
    <row r="224" spans="1:12">
      <c r="A224" s="5" t="s">
        <v>122</v>
      </c>
      <c r="B224" s="6">
        <v>146</v>
      </c>
    </row>
    <row r="225" spans="1:2">
      <c r="A225" s="5" t="s">
        <v>123</v>
      </c>
      <c r="B225" s="6">
        <v>6359</v>
      </c>
    </row>
    <row r="226" spans="1:2">
      <c r="A226" s="5" t="s">
        <v>124</v>
      </c>
      <c r="B226" s="6">
        <v>232</v>
      </c>
    </row>
    <row r="227" spans="1:2">
      <c r="A227" s="5" t="s">
        <v>125</v>
      </c>
      <c r="B227" s="6">
        <v>232</v>
      </c>
    </row>
    <row r="228" spans="1:2">
      <c r="A228" s="5" t="s">
        <v>126</v>
      </c>
      <c r="B228" s="6">
        <v>77</v>
      </c>
    </row>
    <row r="229" spans="1:2">
      <c r="A229" s="5" t="s">
        <v>127</v>
      </c>
      <c r="B229" s="6">
        <v>53530</v>
      </c>
    </row>
    <row r="230" spans="1:2">
      <c r="A230" s="5" t="s">
        <v>128</v>
      </c>
      <c r="B230" s="6">
        <v>48</v>
      </c>
    </row>
    <row r="231" spans="1:2">
      <c r="A231" s="5" t="s">
        <v>129</v>
      </c>
      <c r="B231" s="6">
        <v>48</v>
      </c>
    </row>
    <row r="232" spans="1:2">
      <c r="A232" s="5" t="s">
        <v>130</v>
      </c>
      <c r="B232" s="6">
        <v>53455</v>
      </c>
    </row>
    <row r="233" spans="1:2">
      <c r="A233" s="5" t="s">
        <v>131</v>
      </c>
      <c r="B233" s="6">
        <v>798</v>
      </c>
    </row>
    <row r="234" spans="1:2">
      <c r="A234" s="5" t="s">
        <v>132</v>
      </c>
      <c r="B234" s="6">
        <v>46844</v>
      </c>
    </row>
    <row r="235" spans="1:2" ht="18">
      <c r="A235" s="4" t="s">
        <v>49</v>
      </c>
      <c r="B235" s="10">
        <f>SUM(B221:B234)</f>
        <v>165324</v>
      </c>
    </row>
    <row r="236" spans="1:2" ht="59" customHeight="1"/>
    <row r="239" spans="1:2">
      <c r="A239" t="s">
        <v>133</v>
      </c>
    </row>
    <row r="240" spans="1:2">
      <c r="A240" t="s">
        <v>134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J1:L1"/>
  </mergeCells>
  <pageMargins left="0.4" right="0.7" top="0.75" bottom="0.75" header="0.3" footer="0.3"/>
  <pageSetup paperSize="9" orientation="portrait"/>
  <headerFooter>
    <oddFooter>&amp;L&amp;BExport (od H3.0 DEMO)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69"/>
  <sheetViews>
    <sheetView showGridLines="0" workbookViewId="0"/>
  </sheetViews>
  <sheetFormatPr baseColWidth="10" defaultColWidth="8.83203125" defaultRowHeight="15" x14ac:dyDescent="0"/>
  <cols>
    <col min="1" max="1" width="78.1640625" customWidth="1"/>
    <col min="2" max="9" width="18" customWidth="1"/>
    <col min="10" max="10" width="19.5" bestFit="1" customWidth="1"/>
    <col min="11" max="12" width="18" customWidth="1"/>
  </cols>
  <sheetData>
    <row r="1" spans="1:12" ht="49" customHeight="1">
      <c r="A1" s="1" t="s">
        <v>288</v>
      </c>
      <c r="J1" s="21"/>
      <c r="K1" s="22"/>
      <c r="L1" s="22"/>
    </row>
    <row r="2" spans="1:12" ht="15" customHeight="1">
      <c r="A2" t="s">
        <v>0</v>
      </c>
      <c r="C2" s="20" t="s">
        <v>291</v>
      </c>
    </row>
    <row r="3" spans="1:12" ht="15" customHeight="1">
      <c r="A3" t="s">
        <v>1</v>
      </c>
      <c r="C3" t="s">
        <v>2</v>
      </c>
      <c r="E3" s="2" t="s">
        <v>3</v>
      </c>
      <c r="F3">
        <v>26</v>
      </c>
    </row>
    <row r="4" spans="1:12" ht="15" customHeight="1"/>
    <row r="5" spans="1:12" ht="15" customHeight="1"/>
    <row r="6" spans="1:12" ht="41" customHeight="1">
      <c r="A6" s="3" t="s">
        <v>135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6" customHeight="1"/>
    <row r="8" spans="1:12" ht="36" customHeight="1"/>
    <row r="9" spans="1:12" ht="36" customHeight="1"/>
    <row r="10" spans="1:12" ht="36" customHeight="1"/>
    <row r="11" spans="1:12" ht="36" customHeight="1"/>
    <row r="12" spans="1:12" ht="36" customHeight="1"/>
    <row r="13" spans="1:12" ht="36" customHeight="1"/>
    <row r="14" spans="1:12" ht="36" customHeight="1"/>
    <row r="15" spans="1:12" ht="36" customHeight="1"/>
    <row r="16" spans="1:12" ht="36" customHeight="1"/>
    <row r="17" spans="1:12" ht="36" customHeight="1"/>
    <row r="18" spans="1:12" ht="36" customHeight="1"/>
    <row r="19" spans="1:12" ht="36" customHeight="1"/>
    <row r="20" spans="1:12" ht="36" customHeight="1"/>
    <row r="21" spans="1:12" ht="36" customHeight="1"/>
    <row r="22" spans="1:12" ht="36" customHeight="1"/>
    <row r="23" spans="1:12" ht="36" customHeight="1"/>
    <row r="24" spans="1:12" ht="33" customHeight="1">
      <c r="A24" s="4" t="s">
        <v>136</v>
      </c>
      <c r="B24" s="4" t="s">
        <v>6</v>
      </c>
      <c r="C24" s="4" t="s">
        <v>7</v>
      </c>
      <c r="D24" s="4" t="s">
        <v>8</v>
      </c>
      <c r="E24" s="4" t="s">
        <v>45</v>
      </c>
      <c r="F24" s="4" t="s">
        <v>9</v>
      </c>
      <c r="G24" s="4" t="s">
        <v>15</v>
      </c>
      <c r="J24" s="13">
        <f>SUM(G25:G47)/(SUM(D25:D47)/1000)</f>
        <v>120.21031830051518</v>
      </c>
      <c r="K24" s="14">
        <f>AVERAGE(B25:B47)</f>
        <v>548.73913043478262</v>
      </c>
      <c r="L24" s="15">
        <f>AVERAGE(C25:C47)</f>
        <v>1.0850502031018896</v>
      </c>
    </row>
    <row r="25" spans="1:12">
      <c r="A25" s="5" t="s">
        <v>293</v>
      </c>
      <c r="B25" s="6">
        <v>447</v>
      </c>
      <c r="C25" s="7">
        <f t="shared" ref="C25:C47" si="0">D25/B25</f>
        <v>1.1879194630872483</v>
      </c>
      <c r="D25" s="6">
        <v>531</v>
      </c>
      <c r="E25" s="6">
        <v>447</v>
      </c>
      <c r="F25" s="8">
        <f t="shared" ref="F25:F47" si="1">G25/(D25/1000)</f>
        <v>103.31450094161958</v>
      </c>
      <c r="G25" s="8">
        <f>2.11*F3</f>
        <v>54.86</v>
      </c>
      <c r="J25" s="16" t="s">
        <v>46</v>
      </c>
      <c r="K25" s="16" t="s">
        <v>47</v>
      </c>
      <c r="L25" s="16" t="s">
        <v>48</v>
      </c>
    </row>
    <row r="26" spans="1:12">
      <c r="A26" s="5" t="s">
        <v>293</v>
      </c>
      <c r="B26" s="6">
        <v>218</v>
      </c>
      <c r="C26" s="7">
        <f t="shared" si="0"/>
        <v>1.0137614678899083</v>
      </c>
      <c r="D26" s="6">
        <v>221</v>
      </c>
      <c r="E26" s="6">
        <v>218</v>
      </c>
      <c r="F26" s="8">
        <f t="shared" si="1"/>
        <v>336.47058823529409</v>
      </c>
      <c r="G26" s="8">
        <f>2.86*F3</f>
        <v>74.36</v>
      </c>
    </row>
    <row r="27" spans="1:12">
      <c r="A27" s="5" t="s">
        <v>293</v>
      </c>
      <c r="B27" s="6">
        <v>484</v>
      </c>
      <c r="C27" s="7">
        <f t="shared" si="0"/>
        <v>1.1384297520661157</v>
      </c>
      <c r="D27" s="6">
        <v>551</v>
      </c>
      <c r="E27" s="6">
        <v>484</v>
      </c>
      <c r="F27" s="8">
        <f t="shared" si="1"/>
        <v>107.5862068965517</v>
      </c>
      <c r="G27" s="8">
        <f>2.28*F3</f>
        <v>59.279999999999994</v>
      </c>
    </row>
    <row r="28" spans="1:12">
      <c r="A28" s="5" t="s">
        <v>293</v>
      </c>
      <c r="B28" s="6">
        <v>442</v>
      </c>
      <c r="C28" s="7">
        <f t="shared" si="0"/>
        <v>1.0746606334841629</v>
      </c>
      <c r="D28" s="6">
        <v>475</v>
      </c>
      <c r="E28" s="6">
        <v>442</v>
      </c>
      <c r="F28" s="8">
        <f t="shared" si="1"/>
        <v>113.85263157894737</v>
      </c>
      <c r="G28" s="8">
        <f>2.08*F3</f>
        <v>54.08</v>
      </c>
    </row>
    <row r="29" spans="1:12">
      <c r="A29" s="5" t="s">
        <v>293</v>
      </c>
      <c r="B29" s="6">
        <v>1834</v>
      </c>
      <c r="C29" s="7">
        <f t="shared" si="0"/>
        <v>1.1030534351145038</v>
      </c>
      <c r="D29" s="6">
        <v>2023</v>
      </c>
      <c r="E29" s="6">
        <v>1834</v>
      </c>
      <c r="F29" s="8">
        <f t="shared" si="1"/>
        <v>114.89866534849233</v>
      </c>
      <c r="G29" s="8">
        <f>8.94*F3</f>
        <v>232.44</v>
      </c>
    </row>
    <row r="30" spans="1:12">
      <c r="A30" s="5" t="s">
        <v>293</v>
      </c>
      <c r="B30" s="6">
        <v>1323</v>
      </c>
      <c r="C30" s="7">
        <f t="shared" si="0"/>
        <v>1.0687830687830688</v>
      </c>
      <c r="D30" s="6">
        <v>1414</v>
      </c>
      <c r="E30" s="6">
        <v>1323</v>
      </c>
      <c r="F30" s="8">
        <f t="shared" si="1"/>
        <v>133.67751060820368</v>
      </c>
      <c r="G30" s="8">
        <f>7.27*F3</f>
        <v>189.01999999999998</v>
      </c>
    </row>
    <row r="31" spans="1:12">
      <c r="A31" s="5" t="s">
        <v>293</v>
      </c>
      <c r="B31" s="6">
        <v>446</v>
      </c>
      <c r="C31" s="7">
        <f t="shared" si="0"/>
        <v>1.195067264573991</v>
      </c>
      <c r="D31" s="6">
        <v>533</v>
      </c>
      <c r="E31" s="6">
        <v>446</v>
      </c>
      <c r="F31" s="8">
        <f t="shared" si="1"/>
        <v>117.5609756097561</v>
      </c>
      <c r="G31" s="8">
        <f>2.41*F3</f>
        <v>62.660000000000004</v>
      </c>
    </row>
    <row r="32" spans="1:12">
      <c r="A32" s="5" t="s">
        <v>293</v>
      </c>
      <c r="B32" s="6">
        <v>1182</v>
      </c>
      <c r="C32" s="7">
        <f t="shared" si="0"/>
        <v>1.1260575296108291</v>
      </c>
      <c r="D32" s="6">
        <v>1331</v>
      </c>
      <c r="E32" s="6">
        <v>1182</v>
      </c>
      <c r="F32" s="8">
        <f t="shared" si="1"/>
        <v>117.79113448534936</v>
      </c>
      <c r="G32" s="8">
        <f>6.03*F3</f>
        <v>156.78</v>
      </c>
    </row>
    <row r="33" spans="1:7">
      <c r="A33" s="5" t="s">
        <v>293</v>
      </c>
      <c r="B33" s="6">
        <v>1342</v>
      </c>
      <c r="C33" s="7">
        <f t="shared" si="0"/>
        <v>1.0909090909090908</v>
      </c>
      <c r="D33" s="6">
        <v>1464</v>
      </c>
      <c r="E33" s="6">
        <v>1342</v>
      </c>
      <c r="F33" s="8">
        <f t="shared" si="1"/>
        <v>131.0655737704918</v>
      </c>
      <c r="G33" s="8">
        <f>7.38*F3</f>
        <v>191.88</v>
      </c>
    </row>
    <row r="34" spans="1:7">
      <c r="A34" s="5" t="s">
        <v>293</v>
      </c>
      <c r="B34" s="6">
        <v>621</v>
      </c>
      <c r="C34" s="7">
        <f t="shared" si="0"/>
        <v>1.1256038647342994</v>
      </c>
      <c r="D34" s="6">
        <v>699</v>
      </c>
      <c r="E34" s="6">
        <v>621</v>
      </c>
      <c r="F34" s="8">
        <f t="shared" si="1"/>
        <v>102.66094420600858</v>
      </c>
      <c r="G34" s="8">
        <f>2.76*F3</f>
        <v>71.759999999999991</v>
      </c>
    </row>
    <row r="35" spans="1:7">
      <c r="A35" s="5" t="s">
        <v>293</v>
      </c>
      <c r="B35" s="6">
        <v>641</v>
      </c>
      <c r="C35" s="7">
        <f t="shared" si="0"/>
        <v>1.0592823712948518</v>
      </c>
      <c r="D35" s="6">
        <v>679</v>
      </c>
      <c r="E35" s="6">
        <v>641</v>
      </c>
      <c r="F35" s="8">
        <f t="shared" si="1"/>
        <v>111.81148748159058</v>
      </c>
      <c r="G35" s="8">
        <f>2.92*F3</f>
        <v>75.92</v>
      </c>
    </row>
    <row r="36" spans="1:7">
      <c r="A36" s="5" t="s">
        <v>293</v>
      </c>
      <c r="B36" s="6">
        <v>51</v>
      </c>
      <c r="C36" s="7">
        <f t="shared" si="0"/>
        <v>1</v>
      </c>
      <c r="D36" s="6">
        <v>51</v>
      </c>
      <c r="E36" s="6">
        <v>51</v>
      </c>
      <c r="F36" s="8">
        <f t="shared" si="1"/>
        <v>203.92156862745099</v>
      </c>
      <c r="G36" s="8">
        <f>0.4*F3</f>
        <v>10.4</v>
      </c>
    </row>
    <row r="37" spans="1:7">
      <c r="A37" s="5" t="s">
        <v>293</v>
      </c>
      <c r="B37" s="6">
        <v>590</v>
      </c>
      <c r="C37" s="7">
        <f t="shared" si="0"/>
        <v>1.3</v>
      </c>
      <c r="D37" s="6">
        <v>767</v>
      </c>
      <c r="E37" s="6">
        <v>590</v>
      </c>
      <c r="F37" s="8">
        <f t="shared" si="1"/>
        <v>73.559322033898312</v>
      </c>
      <c r="G37" s="8">
        <f>2.17*F3</f>
        <v>56.42</v>
      </c>
    </row>
    <row r="38" spans="1:7">
      <c r="A38" s="5" t="s">
        <v>293</v>
      </c>
      <c r="B38" s="6">
        <v>28</v>
      </c>
      <c r="C38" s="7">
        <f t="shared" si="0"/>
        <v>1</v>
      </c>
      <c r="D38" s="6">
        <v>28</v>
      </c>
      <c r="E38" s="6">
        <v>28</v>
      </c>
      <c r="F38" s="8">
        <f t="shared" si="1"/>
        <v>306.42857142857144</v>
      </c>
      <c r="G38" s="8">
        <f>0.33*F3</f>
        <v>8.58</v>
      </c>
    </row>
    <row r="39" spans="1:7">
      <c r="A39" s="5" t="s">
        <v>293</v>
      </c>
      <c r="B39" s="6">
        <v>36</v>
      </c>
      <c r="C39" s="7">
        <f t="shared" si="0"/>
        <v>1</v>
      </c>
      <c r="D39" s="6">
        <v>36</v>
      </c>
      <c r="E39" s="6">
        <v>36</v>
      </c>
      <c r="F39" s="8">
        <f t="shared" si="1"/>
        <v>187.7777777777778</v>
      </c>
      <c r="G39" s="8">
        <f>0.26*F3</f>
        <v>6.76</v>
      </c>
    </row>
    <row r="40" spans="1:7">
      <c r="A40" s="5" t="s">
        <v>293</v>
      </c>
      <c r="B40" s="6">
        <v>75</v>
      </c>
      <c r="C40" s="7">
        <f t="shared" si="0"/>
        <v>1.0133333333333334</v>
      </c>
      <c r="D40" s="6">
        <v>76</v>
      </c>
      <c r="E40" s="6">
        <v>75</v>
      </c>
      <c r="F40" s="8">
        <f t="shared" si="1"/>
        <v>99.210526315789465</v>
      </c>
      <c r="G40" s="8">
        <f>0.29*F3</f>
        <v>7.5399999999999991</v>
      </c>
    </row>
    <row r="41" spans="1:7">
      <c r="A41" s="5" t="s">
        <v>293</v>
      </c>
      <c r="B41" s="6">
        <v>90</v>
      </c>
      <c r="C41" s="7">
        <f t="shared" si="0"/>
        <v>1.0333333333333334</v>
      </c>
      <c r="D41" s="6">
        <v>93</v>
      </c>
      <c r="E41" s="6">
        <v>90</v>
      </c>
      <c r="F41" s="8">
        <f t="shared" si="1"/>
        <v>81.075268817204289</v>
      </c>
      <c r="G41" s="8">
        <f>0.29*F3</f>
        <v>7.5399999999999991</v>
      </c>
    </row>
    <row r="42" spans="1:7">
      <c r="A42" s="5" t="s">
        <v>293</v>
      </c>
      <c r="B42" s="6">
        <v>136</v>
      </c>
      <c r="C42" s="7">
        <f t="shared" si="0"/>
        <v>1.0147058823529411</v>
      </c>
      <c r="D42" s="6">
        <v>138</v>
      </c>
      <c r="E42" s="6">
        <v>136</v>
      </c>
      <c r="F42" s="8">
        <f t="shared" si="1"/>
        <v>195.94202898550722</v>
      </c>
      <c r="G42" s="8">
        <f>1.04*F3</f>
        <v>27.04</v>
      </c>
    </row>
    <row r="43" spans="1:7">
      <c r="A43" s="5" t="s">
        <v>293</v>
      </c>
      <c r="B43" s="6">
        <v>199</v>
      </c>
      <c r="C43" s="7">
        <f t="shared" si="0"/>
        <v>1.035175879396985</v>
      </c>
      <c r="D43" s="6">
        <v>206</v>
      </c>
      <c r="E43" s="6">
        <v>199</v>
      </c>
      <c r="F43" s="8">
        <f t="shared" si="1"/>
        <v>217.08737864077671</v>
      </c>
      <c r="G43" s="8">
        <f>1.72*F3</f>
        <v>44.72</v>
      </c>
    </row>
    <row r="44" spans="1:7">
      <c r="A44" s="5" t="s">
        <v>293</v>
      </c>
      <c r="B44" s="6">
        <v>1094</v>
      </c>
      <c r="C44" s="7">
        <f t="shared" si="0"/>
        <v>1.0265082266910421</v>
      </c>
      <c r="D44" s="6">
        <v>1123</v>
      </c>
      <c r="E44" s="6">
        <v>1094</v>
      </c>
      <c r="F44" s="8">
        <f t="shared" si="1"/>
        <v>105.34283170080143</v>
      </c>
      <c r="G44" s="8">
        <f>4.55*F3</f>
        <v>118.3</v>
      </c>
    </row>
    <row r="45" spans="1:7">
      <c r="A45" s="5" t="s">
        <v>293</v>
      </c>
      <c r="B45" s="6">
        <v>1130</v>
      </c>
      <c r="C45" s="7">
        <f t="shared" si="0"/>
        <v>1.3424778761061946</v>
      </c>
      <c r="D45" s="6">
        <v>1517</v>
      </c>
      <c r="E45" s="6">
        <v>1130</v>
      </c>
      <c r="F45" s="8">
        <f t="shared" si="1"/>
        <v>98.378378378378386</v>
      </c>
      <c r="G45" s="8">
        <f>5.74*F3</f>
        <v>149.24</v>
      </c>
    </row>
    <row r="46" spans="1:7">
      <c r="A46" s="5" t="s">
        <v>293</v>
      </c>
      <c r="B46" s="6">
        <v>141</v>
      </c>
      <c r="C46" s="7">
        <f t="shared" si="0"/>
        <v>1.0070921985815602</v>
      </c>
      <c r="D46" s="6">
        <v>142</v>
      </c>
      <c r="E46" s="6">
        <v>141</v>
      </c>
      <c r="F46" s="8">
        <f t="shared" si="1"/>
        <v>201.40845070422537</v>
      </c>
      <c r="G46" s="8">
        <f>1.1*F3</f>
        <v>28.6</v>
      </c>
    </row>
    <row r="47" spans="1:7">
      <c r="A47" s="5" t="s">
        <v>293</v>
      </c>
      <c r="B47" s="6">
        <v>71</v>
      </c>
      <c r="C47" s="7">
        <f t="shared" si="0"/>
        <v>1</v>
      </c>
      <c r="D47" s="6">
        <v>71</v>
      </c>
      <c r="E47" s="6">
        <v>71</v>
      </c>
      <c r="F47" s="8">
        <f t="shared" si="1"/>
        <v>212.3943661971831</v>
      </c>
      <c r="G47" s="8">
        <f>0.58*F3</f>
        <v>15.079999999999998</v>
      </c>
    </row>
    <row r="48" spans="1:7" ht="18">
      <c r="A48" s="4" t="s">
        <v>49</v>
      </c>
      <c r="B48" s="10"/>
      <c r="C48" s="11"/>
      <c r="D48" s="10">
        <f>SUM(D25:D47)</f>
        <v>14169</v>
      </c>
      <c r="E48" s="10">
        <f>SUM(E25:E47)</f>
        <v>12621</v>
      </c>
      <c r="F48" s="12">
        <f t="shared" ref="F48" si="2">G48/(D48/1000)</f>
        <v>120.21031830051518</v>
      </c>
      <c r="G48" s="12">
        <f>SUM(G25:G47)</f>
        <v>1703.2599999999998</v>
      </c>
    </row>
    <row r="49" spans="1:12" ht="59" customHeight="1"/>
    <row r="52" spans="1:12" ht="41" customHeight="1">
      <c r="A52" s="3" t="s">
        <v>137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36" customHeight="1"/>
    <row r="54" spans="1:12" ht="36" customHeight="1"/>
    <row r="55" spans="1:12" ht="36" customHeight="1"/>
    <row r="56" spans="1:12" ht="36" customHeight="1"/>
    <row r="57" spans="1:12" ht="36" customHeight="1"/>
    <row r="58" spans="1:12" ht="36" customHeight="1"/>
    <row r="59" spans="1:12" ht="36" customHeight="1"/>
    <row r="60" spans="1:12" ht="36" customHeight="1"/>
    <row r="61" spans="1:12" ht="36" customHeight="1"/>
    <row r="62" spans="1:12" ht="36" customHeight="1"/>
    <row r="63" spans="1:12" ht="36" customHeight="1"/>
    <row r="64" spans="1:12" ht="36" customHeight="1"/>
    <row r="65" ht="36" customHeight="1"/>
    <row r="66" ht="36" customHeight="1"/>
    <row r="67" ht="36" customHeight="1"/>
    <row r="68" ht="36" customHeight="1"/>
    <row r="69" ht="36" customHeight="1"/>
    <row r="70" ht="36" customHeight="1"/>
    <row r="71" ht="36" customHeight="1"/>
    <row r="72" ht="36" customHeight="1"/>
    <row r="73" ht="36" customHeight="1"/>
    <row r="74" ht="36" customHeight="1"/>
    <row r="75" ht="36" customHeight="1"/>
    <row r="76" ht="36" customHeight="1"/>
    <row r="77" ht="36" customHeight="1"/>
    <row r="78" ht="36" customHeight="1"/>
    <row r="79" ht="36" customHeight="1"/>
    <row r="80" ht="36" customHeight="1"/>
    <row r="81" spans="1:10" ht="36" customHeight="1"/>
    <row r="82" spans="1:10" ht="36" customHeight="1"/>
    <row r="83" spans="1:10" ht="33" customHeight="1">
      <c r="A83" s="4" t="s">
        <v>136</v>
      </c>
      <c r="B83" s="4" t="s">
        <v>51</v>
      </c>
      <c r="C83" s="4" t="s">
        <v>52</v>
      </c>
      <c r="D83" s="4" t="s">
        <v>53</v>
      </c>
      <c r="E83" s="4" t="s">
        <v>54</v>
      </c>
      <c r="F83" s="4" t="s">
        <v>10</v>
      </c>
      <c r="G83" s="4" t="s">
        <v>11</v>
      </c>
      <c r="H83" s="4" t="s">
        <v>12</v>
      </c>
      <c r="I83" s="4" t="s">
        <v>55</v>
      </c>
      <c r="J83" s="4" t="s">
        <v>15</v>
      </c>
    </row>
    <row r="84" spans="1:10">
      <c r="A84" s="5" t="s">
        <v>293</v>
      </c>
      <c r="B84" s="6">
        <v>1</v>
      </c>
      <c r="C84" s="8">
        <f t="shared" ref="C84:C111" si="3">K84/B84</f>
        <v>0</v>
      </c>
      <c r="D84" s="6">
        <v>1</v>
      </c>
      <c r="E84" s="8">
        <f>0*F3</f>
        <v>0</v>
      </c>
      <c r="F84" s="6">
        <v>0</v>
      </c>
      <c r="G84" s="8" t="e">
        <f t="shared" ref="G84:G111" si="4">K84/F84</f>
        <v>#DIV/0!</v>
      </c>
      <c r="H84" s="9">
        <f>F84/531</f>
        <v>0</v>
      </c>
      <c r="I84" s="7" t="e">
        <f>F84/0</f>
        <v>#DIV/0!</v>
      </c>
      <c r="J84" s="8">
        <f>2.11*F3</f>
        <v>54.86</v>
      </c>
    </row>
    <row r="85" spans="1:10">
      <c r="A85" s="5" t="s">
        <v>293</v>
      </c>
      <c r="B85" s="6">
        <v>0</v>
      </c>
      <c r="C85" s="8" t="e">
        <f t="shared" si="3"/>
        <v>#DIV/0!</v>
      </c>
      <c r="D85" s="6">
        <v>0</v>
      </c>
      <c r="E85" s="8">
        <f>0*F3</f>
        <v>0</v>
      </c>
      <c r="F85" s="6">
        <v>0</v>
      </c>
      <c r="G85" s="8" t="e">
        <f t="shared" si="4"/>
        <v>#DIV/0!</v>
      </c>
      <c r="H85" s="9">
        <f>F85/221</f>
        <v>0</v>
      </c>
      <c r="I85" s="7" t="e">
        <f>F85/0</f>
        <v>#DIV/0!</v>
      </c>
      <c r="J85" s="8">
        <f>2.86*F3</f>
        <v>74.36</v>
      </c>
    </row>
    <row r="86" spans="1:10">
      <c r="A86" s="5" t="s">
        <v>293</v>
      </c>
      <c r="B86" s="6">
        <v>1</v>
      </c>
      <c r="C86" s="8">
        <f t="shared" si="3"/>
        <v>0</v>
      </c>
      <c r="D86" s="6">
        <v>1</v>
      </c>
      <c r="E86" s="8">
        <f>0*F3</f>
        <v>0</v>
      </c>
      <c r="F86" s="6">
        <v>0</v>
      </c>
      <c r="G86" s="8" t="e">
        <f t="shared" si="4"/>
        <v>#DIV/0!</v>
      </c>
      <c r="H86" s="9">
        <f>F86/551</f>
        <v>0</v>
      </c>
      <c r="I86" s="7" t="e">
        <f>F86/0</f>
        <v>#DIV/0!</v>
      </c>
      <c r="J86" s="8">
        <f>2.28*F3</f>
        <v>59.279999999999994</v>
      </c>
    </row>
    <row r="87" spans="1:10">
      <c r="A87" s="5" t="s">
        <v>293</v>
      </c>
      <c r="B87" s="6">
        <v>0</v>
      </c>
      <c r="C87" s="8" t="e">
        <f t="shared" si="3"/>
        <v>#DIV/0!</v>
      </c>
      <c r="D87" s="6">
        <v>0</v>
      </c>
      <c r="E87" s="8">
        <f>0*F3</f>
        <v>0</v>
      </c>
      <c r="F87" s="6">
        <v>0</v>
      </c>
      <c r="G87" s="8" t="e">
        <f t="shared" si="4"/>
        <v>#DIV/0!</v>
      </c>
      <c r="H87" s="9">
        <f>F87/475</f>
        <v>0</v>
      </c>
      <c r="I87" s="7" t="e">
        <f>F87/0</f>
        <v>#DIV/0!</v>
      </c>
      <c r="J87" s="8">
        <f>2.08*F3</f>
        <v>54.08</v>
      </c>
    </row>
    <row r="88" spans="1:10">
      <c r="A88" s="5" t="s">
        <v>293</v>
      </c>
      <c r="B88" s="6">
        <v>5</v>
      </c>
      <c r="C88" s="8">
        <f t="shared" si="3"/>
        <v>0</v>
      </c>
      <c r="D88" s="6">
        <v>5</v>
      </c>
      <c r="E88" s="8">
        <f>0*F3</f>
        <v>0</v>
      </c>
      <c r="F88" s="6">
        <v>7</v>
      </c>
      <c r="G88" s="8">
        <f t="shared" si="4"/>
        <v>0</v>
      </c>
      <c r="H88" s="9">
        <f>F88/2023</f>
        <v>3.4602076124567475E-3</v>
      </c>
      <c r="I88" s="7">
        <f>F88/7</f>
        <v>1</v>
      </c>
      <c r="J88" s="8">
        <f>8.94*F3</f>
        <v>232.44</v>
      </c>
    </row>
    <row r="89" spans="1:10">
      <c r="A89" s="5" t="s">
        <v>293</v>
      </c>
      <c r="B89" s="6">
        <v>5</v>
      </c>
      <c r="C89" s="8">
        <f t="shared" si="3"/>
        <v>0</v>
      </c>
      <c r="D89" s="6">
        <v>5</v>
      </c>
      <c r="E89" s="8">
        <f>0*F3</f>
        <v>0</v>
      </c>
      <c r="F89" s="6">
        <v>5</v>
      </c>
      <c r="G89" s="8">
        <f t="shared" si="4"/>
        <v>0</v>
      </c>
      <c r="H89" s="9">
        <f>F89/1414</f>
        <v>3.5360678925035359E-3</v>
      </c>
      <c r="I89" s="7">
        <f>F89/5</f>
        <v>1</v>
      </c>
      <c r="J89" s="8">
        <f>7.27*F3</f>
        <v>189.01999999999998</v>
      </c>
    </row>
    <row r="90" spans="1:10">
      <c r="A90" s="5" t="s">
        <v>293</v>
      </c>
      <c r="B90" s="6">
        <v>0</v>
      </c>
      <c r="C90" s="8" t="e">
        <f t="shared" si="3"/>
        <v>#DIV/0!</v>
      </c>
      <c r="D90" s="6">
        <v>0</v>
      </c>
      <c r="E90" s="8">
        <f>0*F3</f>
        <v>0</v>
      </c>
      <c r="F90" s="6">
        <v>0</v>
      </c>
      <c r="G90" s="8" t="e">
        <f t="shared" si="4"/>
        <v>#DIV/0!</v>
      </c>
      <c r="H90" s="9">
        <f>F90/533</f>
        <v>0</v>
      </c>
      <c r="I90" s="7" t="e">
        <f>F90/0</f>
        <v>#DIV/0!</v>
      </c>
      <c r="J90" s="8">
        <f>2.41*F3</f>
        <v>62.660000000000004</v>
      </c>
    </row>
    <row r="91" spans="1:10">
      <c r="A91" s="5" t="s">
        <v>293</v>
      </c>
      <c r="B91" s="6">
        <v>6</v>
      </c>
      <c r="C91" s="8">
        <f t="shared" si="3"/>
        <v>0</v>
      </c>
      <c r="D91" s="6">
        <v>3</v>
      </c>
      <c r="E91" s="8">
        <f>36.45*F3</f>
        <v>947.7</v>
      </c>
      <c r="F91" s="6">
        <v>5</v>
      </c>
      <c r="G91" s="8">
        <f t="shared" si="4"/>
        <v>0</v>
      </c>
      <c r="H91" s="9">
        <f>F91/1331</f>
        <v>3.7565740045078888E-3</v>
      </c>
      <c r="I91" s="7">
        <f>F91/5</f>
        <v>1</v>
      </c>
      <c r="J91" s="8">
        <f>6.03*F3</f>
        <v>156.78</v>
      </c>
    </row>
    <row r="92" spans="1:10">
      <c r="A92" s="5" t="s">
        <v>293</v>
      </c>
      <c r="B92" s="6">
        <v>3</v>
      </c>
      <c r="C92" s="8">
        <f t="shared" si="3"/>
        <v>0</v>
      </c>
      <c r="D92" s="6">
        <v>3</v>
      </c>
      <c r="E92" s="8">
        <f>0*F3</f>
        <v>0</v>
      </c>
      <c r="F92" s="6">
        <v>4</v>
      </c>
      <c r="G92" s="8">
        <f t="shared" si="4"/>
        <v>0</v>
      </c>
      <c r="H92" s="9">
        <f>F92/1464</f>
        <v>2.7322404371584699E-3</v>
      </c>
      <c r="I92" s="7">
        <f>F92/4</f>
        <v>1</v>
      </c>
      <c r="J92" s="8">
        <f>7.38*F3</f>
        <v>191.88</v>
      </c>
    </row>
    <row r="93" spans="1:10">
      <c r="A93" s="5" t="s">
        <v>293</v>
      </c>
      <c r="B93" s="6">
        <v>3</v>
      </c>
      <c r="C93" s="8">
        <f t="shared" si="3"/>
        <v>0</v>
      </c>
      <c r="D93" s="6">
        <v>3</v>
      </c>
      <c r="E93" s="8">
        <f>0*F3</f>
        <v>0</v>
      </c>
      <c r="F93" s="6">
        <v>1</v>
      </c>
      <c r="G93" s="8">
        <f t="shared" si="4"/>
        <v>0</v>
      </c>
      <c r="H93" s="9">
        <f>F93/699</f>
        <v>1.4306151645207439E-3</v>
      </c>
      <c r="I93" s="7">
        <f>F93/1</f>
        <v>1</v>
      </c>
      <c r="J93" s="8">
        <f>2.76*F3</f>
        <v>71.759999999999991</v>
      </c>
    </row>
    <row r="94" spans="1:10">
      <c r="A94" s="5" t="s">
        <v>293</v>
      </c>
      <c r="B94" s="6">
        <v>1</v>
      </c>
      <c r="C94" s="8">
        <f t="shared" si="3"/>
        <v>0</v>
      </c>
      <c r="D94" s="6">
        <v>1</v>
      </c>
      <c r="E94" s="8">
        <f>0*F3</f>
        <v>0</v>
      </c>
      <c r="F94" s="6">
        <v>1</v>
      </c>
      <c r="G94" s="8">
        <f t="shared" si="4"/>
        <v>0</v>
      </c>
      <c r="H94" s="9">
        <f>F94/679</f>
        <v>1.4727540500736377E-3</v>
      </c>
      <c r="I94" s="7">
        <f>F94/1</f>
        <v>1</v>
      </c>
      <c r="J94" s="8">
        <f>2.92*F3</f>
        <v>75.92</v>
      </c>
    </row>
    <row r="95" spans="1:10">
      <c r="A95" s="5" t="s">
        <v>293</v>
      </c>
      <c r="B95" s="6">
        <v>0</v>
      </c>
      <c r="C95" s="8" t="e">
        <f t="shared" si="3"/>
        <v>#DIV/0!</v>
      </c>
      <c r="D95" s="6">
        <v>0</v>
      </c>
      <c r="E95" s="8">
        <f>0*F3</f>
        <v>0</v>
      </c>
      <c r="F95" s="6">
        <v>0</v>
      </c>
      <c r="G95" s="8" t="e">
        <f t="shared" si="4"/>
        <v>#DIV/0!</v>
      </c>
      <c r="H95" s="9">
        <f>F95/51</f>
        <v>0</v>
      </c>
      <c r="I95" s="7" t="e">
        <f>F95/0</f>
        <v>#DIV/0!</v>
      </c>
      <c r="J95" s="8">
        <f>0.4*F3</f>
        <v>10.4</v>
      </c>
    </row>
    <row r="96" spans="1:10">
      <c r="A96" s="5" t="s">
        <v>293</v>
      </c>
      <c r="B96" s="6">
        <v>6</v>
      </c>
      <c r="C96" s="8">
        <f t="shared" si="3"/>
        <v>0</v>
      </c>
      <c r="D96" s="6">
        <v>6</v>
      </c>
      <c r="E96" s="8">
        <f>0*F3</f>
        <v>0</v>
      </c>
      <c r="F96" s="6">
        <v>7</v>
      </c>
      <c r="G96" s="8">
        <f t="shared" si="4"/>
        <v>0</v>
      </c>
      <c r="H96" s="9">
        <f>F96/767</f>
        <v>9.126466753585397E-3</v>
      </c>
      <c r="I96" s="7">
        <f>F96/7</f>
        <v>1</v>
      </c>
      <c r="J96" s="8">
        <f>2.17*F3</f>
        <v>56.42</v>
      </c>
    </row>
    <row r="97" spans="1:10">
      <c r="A97" s="5" t="s">
        <v>293</v>
      </c>
      <c r="B97" s="6">
        <v>0</v>
      </c>
      <c r="C97" s="8" t="e">
        <f t="shared" si="3"/>
        <v>#DIV/0!</v>
      </c>
      <c r="D97" s="6">
        <v>0</v>
      </c>
      <c r="E97" s="8">
        <f>0*F3</f>
        <v>0</v>
      </c>
      <c r="F97" s="6">
        <v>0</v>
      </c>
      <c r="G97" s="8" t="e">
        <f t="shared" si="4"/>
        <v>#DIV/0!</v>
      </c>
      <c r="H97" s="9">
        <f>F97/28</f>
        <v>0</v>
      </c>
      <c r="I97" s="7" t="e">
        <f>F97/0</f>
        <v>#DIV/0!</v>
      </c>
      <c r="J97" s="8">
        <f>0.33*F3</f>
        <v>8.58</v>
      </c>
    </row>
    <row r="98" spans="1:10">
      <c r="A98" s="5" t="s">
        <v>293</v>
      </c>
      <c r="B98" s="6">
        <v>0</v>
      </c>
      <c r="C98" s="8" t="e">
        <f t="shared" si="3"/>
        <v>#DIV/0!</v>
      </c>
      <c r="D98" s="6">
        <v>0</v>
      </c>
      <c r="E98" s="8">
        <f>0*F3</f>
        <v>0</v>
      </c>
      <c r="F98" s="6">
        <v>0</v>
      </c>
      <c r="G98" s="8" t="e">
        <f t="shared" si="4"/>
        <v>#DIV/0!</v>
      </c>
      <c r="H98" s="9">
        <f>F98/36</f>
        <v>0</v>
      </c>
      <c r="I98" s="7" t="e">
        <f>F98/0</f>
        <v>#DIV/0!</v>
      </c>
      <c r="J98" s="8">
        <f>0.26*F3</f>
        <v>6.76</v>
      </c>
    </row>
    <row r="99" spans="1:10">
      <c r="A99" s="5" t="s">
        <v>293</v>
      </c>
      <c r="B99" s="6">
        <v>4</v>
      </c>
      <c r="C99" s="8">
        <f t="shared" si="3"/>
        <v>0</v>
      </c>
      <c r="D99" s="6">
        <v>4</v>
      </c>
      <c r="E99" s="8">
        <f>0*F3</f>
        <v>0</v>
      </c>
      <c r="F99" s="6">
        <v>3</v>
      </c>
      <c r="G99" s="8">
        <f t="shared" si="4"/>
        <v>0</v>
      </c>
      <c r="H99" s="9">
        <f>F99/76</f>
        <v>3.9473684210526314E-2</v>
      </c>
      <c r="I99" s="7">
        <f>F99/3</f>
        <v>1</v>
      </c>
      <c r="J99" s="8">
        <f>0.29*F3</f>
        <v>7.5399999999999991</v>
      </c>
    </row>
    <row r="100" spans="1:10">
      <c r="A100" s="5" t="s">
        <v>293</v>
      </c>
      <c r="B100" s="6">
        <v>0</v>
      </c>
      <c r="C100" s="8" t="e">
        <f t="shared" si="3"/>
        <v>#DIV/0!</v>
      </c>
      <c r="D100" s="6">
        <v>0</v>
      </c>
      <c r="E100" s="8">
        <f>0*F3</f>
        <v>0</v>
      </c>
      <c r="F100" s="6">
        <v>1</v>
      </c>
      <c r="G100" s="8">
        <f t="shared" si="4"/>
        <v>0</v>
      </c>
      <c r="H100" s="9">
        <f>F100/93</f>
        <v>1.0752688172043012E-2</v>
      </c>
      <c r="I100" s="7">
        <f>F100/1</f>
        <v>1</v>
      </c>
      <c r="J100" s="8">
        <f>0.29*F3</f>
        <v>7.5399999999999991</v>
      </c>
    </row>
    <row r="101" spans="1:10">
      <c r="A101" s="5" t="s">
        <v>293</v>
      </c>
      <c r="B101" s="6">
        <v>5</v>
      </c>
      <c r="C101" s="8">
        <f t="shared" si="3"/>
        <v>0</v>
      </c>
      <c r="D101" s="6">
        <v>4</v>
      </c>
      <c r="E101" s="8">
        <f>0*F3</f>
        <v>0</v>
      </c>
      <c r="F101" s="6">
        <v>5</v>
      </c>
      <c r="G101" s="8">
        <f t="shared" si="4"/>
        <v>0</v>
      </c>
      <c r="H101" s="9">
        <f>F101/138</f>
        <v>3.6231884057971016E-2</v>
      </c>
      <c r="I101" s="7">
        <f>F101/4</f>
        <v>1.25</v>
      </c>
      <c r="J101" s="8">
        <f>1.04*F3</f>
        <v>27.04</v>
      </c>
    </row>
    <row r="102" spans="1:10">
      <c r="A102" s="5" t="s">
        <v>293</v>
      </c>
      <c r="B102" s="6">
        <v>5</v>
      </c>
      <c r="C102" s="8">
        <f t="shared" si="3"/>
        <v>0</v>
      </c>
      <c r="D102" s="6">
        <v>4</v>
      </c>
      <c r="E102" s="8">
        <f>0*F3</f>
        <v>0</v>
      </c>
      <c r="F102" s="6">
        <v>5</v>
      </c>
      <c r="G102" s="8">
        <f t="shared" si="4"/>
        <v>0</v>
      </c>
      <c r="H102" s="9">
        <f>F102/206</f>
        <v>2.4271844660194174E-2</v>
      </c>
      <c r="I102" s="7">
        <f>F102/4</f>
        <v>1.25</v>
      </c>
      <c r="J102" s="8">
        <f>1.72*F3</f>
        <v>44.72</v>
      </c>
    </row>
    <row r="103" spans="1:10">
      <c r="A103" s="5" t="s">
        <v>293</v>
      </c>
      <c r="B103" s="6">
        <v>12</v>
      </c>
      <c r="C103" s="8">
        <f t="shared" si="3"/>
        <v>0</v>
      </c>
      <c r="D103" s="6">
        <v>11</v>
      </c>
      <c r="E103" s="8">
        <f>0*F3</f>
        <v>0</v>
      </c>
      <c r="F103" s="6">
        <v>12</v>
      </c>
      <c r="G103" s="8">
        <f t="shared" si="4"/>
        <v>0</v>
      </c>
      <c r="H103" s="9">
        <f>F103/1123</f>
        <v>1.068566340160285E-2</v>
      </c>
      <c r="I103" s="7">
        <f>F103/12</f>
        <v>1</v>
      </c>
      <c r="J103" s="8">
        <f>4.55*F3</f>
        <v>118.3</v>
      </c>
    </row>
    <row r="104" spans="1:10">
      <c r="A104" s="5" t="s">
        <v>293</v>
      </c>
      <c r="B104" s="6">
        <v>9</v>
      </c>
      <c r="C104" s="8">
        <f t="shared" si="3"/>
        <v>0</v>
      </c>
      <c r="D104" s="6">
        <v>9</v>
      </c>
      <c r="E104" s="8">
        <f>0*F3</f>
        <v>0</v>
      </c>
      <c r="F104" s="6">
        <v>11</v>
      </c>
      <c r="G104" s="8">
        <f t="shared" si="4"/>
        <v>0</v>
      </c>
      <c r="H104" s="9">
        <f>F104/1517</f>
        <v>7.2511535926170073E-3</v>
      </c>
      <c r="I104" s="7">
        <f>F104/11</f>
        <v>1</v>
      </c>
      <c r="J104" s="8">
        <f>5.74*F3</f>
        <v>149.24</v>
      </c>
    </row>
    <row r="105" spans="1:10">
      <c r="A105" s="5" t="s">
        <v>293</v>
      </c>
      <c r="B105" s="6">
        <v>3</v>
      </c>
      <c r="C105" s="8">
        <f t="shared" si="3"/>
        <v>0</v>
      </c>
      <c r="D105" s="6">
        <v>2</v>
      </c>
      <c r="E105" s="8">
        <f>0*F3</f>
        <v>0</v>
      </c>
      <c r="F105" s="6">
        <v>0</v>
      </c>
      <c r="G105" s="8" t="e">
        <f t="shared" si="4"/>
        <v>#DIV/0!</v>
      </c>
      <c r="H105" s="9">
        <f>F105/142</f>
        <v>0</v>
      </c>
      <c r="I105" s="7" t="e">
        <f>F105/0</f>
        <v>#DIV/0!</v>
      </c>
      <c r="J105" s="8">
        <f>1.1*F3</f>
        <v>28.6</v>
      </c>
    </row>
    <row r="106" spans="1:10">
      <c r="A106" s="5" t="s">
        <v>293</v>
      </c>
      <c r="B106" s="6">
        <v>0</v>
      </c>
      <c r="C106" s="8" t="e">
        <f t="shared" si="3"/>
        <v>#DIV/0!</v>
      </c>
      <c r="D106" s="6">
        <v>0</v>
      </c>
      <c r="E106" s="8">
        <f>0*F3</f>
        <v>0</v>
      </c>
      <c r="F106" s="6">
        <v>0</v>
      </c>
      <c r="G106" s="8" t="e">
        <f t="shared" si="4"/>
        <v>#DIV/0!</v>
      </c>
      <c r="H106" s="9">
        <f>F106/71</f>
        <v>0</v>
      </c>
      <c r="I106" s="7" t="e">
        <f>F106/0</f>
        <v>#DIV/0!</v>
      </c>
      <c r="J106" s="8">
        <f>0.58*F3</f>
        <v>15.079999999999998</v>
      </c>
    </row>
    <row r="107" spans="1:10">
      <c r="A107" s="5" t="s">
        <v>293</v>
      </c>
      <c r="B107" s="6">
        <v>1</v>
      </c>
      <c r="C107" s="8">
        <f t="shared" si="3"/>
        <v>0</v>
      </c>
      <c r="D107" s="6">
        <v>1</v>
      </c>
      <c r="E107" s="8">
        <f>0*F3</f>
        <v>0</v>
      </c>
      <c r="F107" s="6">
        <v>1</v>
      </c>
      <c r="G107" s="8">
        <f t="shared" si="4"/>
        <v>0</v>
      </c>
      <c r="H107" s="9">
        <f>F107/104</f>
        <v>9.6153846153846159E-3</v>
      </c>
      <c r="I107" s="7">
        <f>F107/1</f>
        <v>1</v>
      </c>
      <c r="J107" s="8">
        <f>0.29*F3</f>
        <v>7.5399999999999991</v>
      </c>
    </row>
    <row r="108" spans="1:10">
      <c r="A108" s="5" t="s">
        <v>293</v>
      </c>
      <c r="B108" s="6">
        <v>2</v>
      </c>
      <c r="C108" s="8">
        <f t="shared" si="3"/>
        <v>0</v>
      </c>
      <c r="D108" s="6">
        <v>2</v>
      </c>
      <c r="E108" s="8">
        <f>0*F3</f>
        <v>0</v>
      </c>
      <c r="F108" s="6">
        <v>2</v>
      </c>
      <c r="G108" s="8">
        <f t="shared" si="4"/>
        <v>0</v>
      </c>
      <c r="H108" s="9">
        <f>F108/116</f>
        <v>1.7241379310344827E-2</v>
      </c>
      <c r="I108" s="7">
        <f>F108/2</f>
        <v>1</v>
      </c>
      <c r="J108" s="8">
        <f>0.28*F3</f>
        <v>7.2800000000000011</v>
      </c>
    </row>
    <row r="109" spans="1:10">
      <c r="A109" s="5" t="s">
        <v>293</v>
      </c>
      <c r="B109" s="6">
        <v>5</v>
      </c>
      <c r="C109" s="8">
        <f t="shared" si="3"/>
        <v>0</v>
      </c>
      <c r="D109" s="6">
        <v>5</v>
      </c>
      <c r="E109" s="8">
        <f>0*F3</f>
        <v>0</v>
      </c>
      <c r="F109" s="6">
        <v>7</v>
      </c>
      <c r="G109" s="8">
        <f t="shared" si="4"/>
        <v>0</v>
      </c>
      <c r="H109" s="9">
        <f>F109/706</f>
        <v>9.9150141643059488E-3</v>
      </c>
      <c r="I109" s="7">
        <f>F109/6</f>
        <v>1.1666666666666667</v>
      </c>
      <c r="J109" s="8">
        <f>7.66*F3</f>
        <v>199.16</v>
      </c>
    </row>
    <row r="110" spans="1:10">
      <c r="A110" s="5" t="s">
        <v>293</v>
      </c>
      <c r="B110" s="6">
        <v>3</v>
      </c>
      <c r="C110" s="8">
        <f t="shared" si="3"/>
        <v>0</v>
      </c>
      <c r="D110" s="6">
        <v>3</v>
      </c>
      <c r="E110" s="8">
        <f>0*F3</f>
        <v>0</v>
      </c>
      <c r="F110" s="6">
        <v>3</v>
      </c>
      <c r="G110" s="8">
        <f t="shared" si="4"/>
        <v>0</v>
      </c>
      <c r="H110" s="9">
        <f>F110/858</f>
        <v>3.4965034965034965E-3</v>
      </c>
      <c r="I110" s="7">
        <f>F110/3</f>
        <v>1</v>
      </c>
      <c r="J110" s="8">
        <f>9.8*F3</f>
        <v>254.8</v>
      </c>
    </row>
    <row r="111" spans="1:10">
      <c r="A111" s="5" t="s">
        <v>293</v>
      </c>
      <c r="B111" s="6">
        <v>3</v>
      </c>
      <c r="C111" s="8">
        <f t="shared" si="3"/>
        <v>0</v>
      </c>
      <c r="D111" s="6">
        <v>2</v>
      </c>
      <c r="E111" s="8">
        <f>0*F3</f>
        <v>0</v>
      </c>
      <c r="F111" s="6">
        <v>2</v>
      </c>
      <c r="G111" s="8">
        <f t="shared" si="4"/>
        <v>0</v>
      </c>
      <c r="H111" s="9">
        <f>F111/859</f>
        <v>2.3282887077997671E-3</v>
      </c>
      <c r="I111" s="7">
        <f>F111/2</f>
        <v>1</v>
      </c>
      <c r="J111" s="8">
        <f>11.61*F3</f>
        <v>301.86</v>
      </c>
    </row>
    <row r="112" spans="1:10" ht="18">
      <c r="A112" s="4" t="s">
        <v>49</v>
      </c>
      <c r="B112" s="10">
        <f>SUM(B84:B111)</f>
        <v>83</v>
      </c>
      <c r="C112" s="12">
        <f t="shared" ref="C112" si="5">K112/B112</f>
        <v>0</v>
      </c>
      <c r="D112" s="10"/>
      <c r="E112" s="12">
        <f>SUM(E84:E111)</f>
        <v>947.7</v>
      </c>
      <c r="F112" s="10">
        <f>SUM(F84:F111)</f>
        <v>82</v>
      </c>
      <c r="G112" s="12">
        <f t="shared" ref="G112" si="6">K112/F112</f>
        <v>0</v>
      </c>
      <c r="H112" s="17">
        <f>AVERAGE(H84:H111)</f>
        <v>7.0278005108606939E-3</v>
      </c>
      <c r="I112" s="11"/>
      <c r="J112" s="12">
        <f>SUM(K84:K111)</f>
        <v>0</v>
      </c>
    </row>
    <row r="113" spans="1:12" ht="59" customHeight="1"/>
    <row r="116" spans="1:12" ht="41" customHeight="1">
      <c r="A116" s="3" t="s">
        <v>138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36" customHeight="1"/>
    <row r="118" spans="1:12" ht="36" customHeight="1"/>
    <row r="119" spans="1:12" ht="36" customHeight="1"/>
    <row r="120" spans="1:12" ht="36" customHeight="1"/>
    <row r="121" spans="1:12" ht="36" customHeight="1"/>
    <row r="122" spans="1:12" ht="36" customHeight="1"/>
    <row r="123" spans="1:12" ht="36" customHeight="1"/>
    <row r="124" spans="1:12" ht="36" customHeight="1"/>
    <row r="125" spans="1:12" ht="36" customHeight="1"/>
    <row r="126" spans="1:12" ht="36" customHeight="1"/>
    <row r="127" spans="1:12" ht="36" customHeight="1"/>
    <row r="128" spans="1:12" ht="36" customHeight="1"/>
    <row r="129" spans="1:11" ht="36" customHeight="1"/>
    <row r="130" spans="1:11" ht="36" customHeight="1"/>
    <row r="131" spans="1:11" ht="36" customHeight="1"/>
    <row r="132" spans="1:11" ht="36" customHeight="1"/>
    <row r="133" spans="1:11" ht="36" customHeight="1"/>
    <row r="134" spans="1:11" ht="36" customHeight="1"/>
    <row r="135" spans="1:11" ht="36" customHeight="1"/>
    <row r="136" spans="1:11" ht="36" customHeight="1"/>
    <row r="137" spans="1:11" ht="36" customHeight="1"/>
    <row r="138" spans="1:11" ht="36" customHeight="1"/>
    <row r="139" spans="1:11" ht="36" customHeight="1"/>
    <row r="140" spans="1:11" ht="36" customHeight="1"/>
    <row r="141" spans="1:11" ht="36" customHeight="1"/>
    <row r="142" spans="1:11" ht="33" customHeight="1">
      <c r="A142" s="4" t="s">
        <v>136</v>
      </c>
      <c r="B142" s="4" t="s">
        <v>13</v>
      </c>
      <c r="C142" s="4" t="s">
        <v>57</v>
      </c>
      <c r="D142" s="4" t="s">
        <v>58</v>
      </c>
      <c r="E142" s="4" t="s">
        <v>59</v>
      </c>
      <c r="F142" s="4" t="s">
        <v>60</v>
      </c>
      <c r="G142" s="4" t="s">
        <v>61</v>
      </c>
      <c r="H142" s="4" t="s">
        <v>62</v>
      </c>
      <c r="I142" s="4" t="s">
        <v>63</v>
      </c>
      <c r="J142" s="4" t="s">
        <v>64</v>
      </c>
      <c r="K142" s="4" t="s">
        <v>15</v>
      </c>
    </row>
    <row r="143" spans="1:11">
      <c r="A143" s="5" t="s">
        <v>293</v>
      </c>
      <c r="B143" s="6">
        <v>482</v>
      </c>
      <c r="C143" s="6">
        <v>177</v>
      </c>
      <c r="D143" s="6">
        <v>138</v>
      </c>
      <c r="E143" s="6">
        <v>109</v>
      </c>
      <c r="F143" s="6">
        <v>109</v>
      </c>
      <c r="G143" s="8">
        <f t="shared" ref="G143:G151" si="7">K143/B143</f>
        <v>0.70825726141078837</v>
      </c>
      <c r="H143" s="8">
        <f t="shared" ref="H143:H151" si="8">K143/C143</f>
        <v>1.9287005649717515</v>
      </c>
      <c r="I143" s="8">
        <f t="shared" ref="I143:I151" si="9">K143/F143</f>
        <v>3.1319266055045869</v>
      </c>
      <c r="J143" s="6">
        <v>6</v>
      </c>
      <c r="K143" s="8">
        <f>13.13*F3</f>
        <v>341.38</v>
      </c>
    </row>
    <row r="144" spans="1:11">
      <c r="A144" s="5" t="s">
        <v>293</v>
      </c>
      <c r="B144" s="6">
        <v>704</v>
      </c>
      <c r="C144" s="6">
        <v>231</v>
      </c>
      <c r="D144" s="6">
        <v>168</v>
      </c>
      <c r="E144" s="6">
        <v>122</v>
      </c>
      <c r="F144" s="6">
        <v>122</v>
      </c>
      <c r="G144" s="8">
        <f t="shared" si="7"/>
        <v>0.5809375</v>
      </c>
      <c r="H144" s="8">
        <f t="shared" si="8"/>
        <v>1.7704761904761905</v>
      </c>
      <c r="I144" s="8">
        <f t="shared" si="9"/>
        <v>3.3522950819672133</v>
      </c>
      <c r="J144" s="6">
        <v>5</v>
      </c>
      <c r="K144" s="8">
        <f>15.73*F3</f>
        <v>408.98</v>
      </c>
    </row>
    <row r="145" spans="1:11">
      <c r="A145" s="5" t="s">
        <v>293</v>
      </c>
      <c r="B145" s="6">
        <v>374</v>
      </c>
      <c r="C145" s="6">
        <v>116</v>
      </c>
      <c r="D145" s="6">
        <v>92</v>
      </c>
      <c r="E145" s="6">
        <v>92</v>
      </c>
      <c r="F145" s="6">
        <v>92</v>
      </c>
      <c r="G145" s="8">
        <f t="shared" si="7"/>
        <v>0.84604278074866313</v>
      </c>
      <c r="H145" s="8">
        <f t="shared" si="8"/>
        <v>2.7277586206896554</v>
      </c>
      <c r="I145" s="8">
        <f t="shared" si="9"/>
        <v>3.4393478260869568</v>
      </c>
      <c r="J145" s="6">
        <v>3</v>
      </c>
      <c r="K145" s="8">
        <f>12.17*F3</f>
        <v>316.42</v>
      </c>
    </row>
    <row r="146" spans="1:11">
      <c r="A146" s="5" t="s">
        <v>293</v>
      </c>
      <c r="B146" s="6">
        <v>981</v>
      </c>
      <c r="C146" s="6">
        <v>288</v>
      </c>
      <c r="D146" s="6">
        <v>233</v>
      </c>
      <c r="E146" s="6">
        <v>233</v>
      </c>
      <c r="F146" s="6">
        <v>233</v>
      </c>
      <c r="G146" s="8">
        <f t="shared" si="7"/>
        <v>1.4566360856269114</v>
      </c>
      <c r="H146" s="8">
        <f t="shared" si="8"/>
        <v>4.9616666666666669</v>
      </c>
      <c r="I146" s="8">
        <f t="shared" si="9"/>
        <v>6.1328755364806868</v>
      </c>
      <c r="J146" s="6">
        <v>3</v>
      </c>
      <c r="K146" s="8">
        <f>54.96*F3</f>
        <v>1428.96</v>
      </c>
    </row>
    <row r="147" spans="1:11">
      <c r="A147" s="5" t="s">
        <v>293</v>
      </c>
      <c r="B147" s="6">
        <v>165</v>
      </c>
      <c r="C147" s="6">
        <v>39</v>
      </c>
      <c r="D147" s="6">
        <v>36</v>
      </c>
      <c r="E147" s="6">
        <v>36</v>
      </c>
      <c r="F147" s="6">
        <v>36</v>
      </c>
      <c r="G147" s="8">
        <f t="shared" si="7"/>
        <v>1.0210909090909093</v>
      </c>
      <c r="H147" s="8">
        <f t="shared" si="8"/>
        <v>4.32</v>
      </c>
      <c r="I147" s="8">
        <f t="shared" si="9"/>
        <v>4.6800000000000006</v>
      </c>
      <c r="J147" s="6">
        <v>3</v>
      </c>
      <c r="K147" s="8">
        <f>6.48*F3</f>
        <v>168.48000000000002</v>
      </c>
    </row>
    <row r="148" spans="1:11">
      <c r="A148" s="5" t="s">
        <v>293</v>
      </c>
      <c r="B148" s="6">
        <v>115</v>
      </c>
      <c r="C148" s="6">
        <v>21</v>
      </c>
      <c r="D148" s="6">
        <v>18</v>
      </c>
      <c r="E148" s="6">
        <v>18</v>
      </c>
      <c r="F148" s="6">
        <v>18</v>
      </c>
      <c r="G148" s="8">
        <f t="shared" si="7"/>
        <v>0.92469565217391303</v>
      </c>
      <c r="H148" s="8">
        <f t="shared" si="8"/>
        <v>5.0638095238095238</v>
      </c>
      <c r="I148" s="8">
        <f t="shared" si="9"/>
        <v>5.9077777777777776</v>
      </c>
      <c r="J148" s="6">
        <v>2</v>
      </c>
      <c r="K148" s="8">
        <f>4.09*F3</f>
        <v>106.34</v>
      </c>
    </row>
    <row r="149" spans="1:11">
      <c r="A149" s="5" t="s">
        <v>293</v>
      </c>
      <c r="B149" s="6">
        <v>579</v>
      </c>
      <c r="C149" s="6">
        <v>132</v>
      </c>
      <c r="D149" s="6">
        <v>117</v>
      </c>
      <c r="E149" s="6">
        <v>117</v>
      </c>
      <c r="F149" s="6">
        <v>117</v>
      </c>
      <c r="G149" s="8">
        <f t="shared" si="7"/>
        <v>0.92953367875647652</v>
      </c>
      <c r="H149" s="8">
        <f t="shared" si="8"/>
        <v>4.0772727272727272</v>
      </c>
      <c r="I149" s="8">
        <f t="shared" si="9"/>
        <v>4.5999999999999996</v>
      </c>
      <c r="J149" s="6">
        <v>2</v>
      </c>
      <c r="K149" s="8">
        <f>20.7*F3</f>
        <v>538.19999999999993</v>
      </c>
    </row>
    <row r="150" spans="1:11">
      <c r="A150" s="5" t="s">
        <v>293</v>
      </c>
      <c r="B150" s="6">
        <v>2031</v>
      </c>
      <c r="C150" s="6">
        <v>647</v>
      </c>
      <c r="D150" s="6">
        <v>562</v>
      </c>
      <c r="E150" s="6">
        <v>562</v>
      </c>
      <c r="F150" s="6">
        <v>562</v>
      </c>
      <c r="G150" s="8">
        <f t="shared" si="7"/>
        <v>0.85258493353027931</v>
      </c>
      <c r="H150" s="8">
        <f t="shared" si="8"/>
        <v>2.6763523956723296</v>
      </c>
      <c r="I150" s="8">
        <f t="shared" si="9"/>
        <v>3.081138790035582</v>
      </c>
      <c r="J150" s="6">
        <v>3</v>
      </c>
      <c r="K150" s="8">
        <f>66.5999999999999*F3</f>
        <v>1731.5999999999972</v>
      </c>
    </row>
    <row r="151" spans="1:11">
      <c r="A151" s="5" t="s">
        <v>293</v>
      </c>
      <c r="B151" s="6">
        <v>67</v>
      </c>
      <c r="C151" s="6">
        <v>17</v>
      </c>
      <c r="D151" s="6">
        <v>16</v>
      </c>
      <c r="E151" s="6">
        <v>16</v>
      </c>
      <c r="F151" s="6">
        <v>16</v>
      </c>
      <c r="G151" s="8">
        <f t="shared" si="7"/>
        <v>1.5638805970149254</v>
      </c>
      <c r="H151" s="8">
        <f t="shared" si="8"/>
        <v>6.1635294117647064</v>
      </c>
      <c r="I151" s="8">
        <f t="shared" si="9"/>
        <v>6.5487500000000001</v>
      </c>
      <c r="J151" s="6">
        <v>2</v>
      </c>
      <c r="K151" s="8">
        <f>4.03*F3</f>
        <v>104.78</v>
      </c>
    </row>
    <row r="152" spans="1:11" ht="18">
      <c r="A152" s="4" t="s">
        <v>49</v>
      </c>
      <c r="B152" s="10">
        <f>SUM(B143:B151)</f>
        <v>5498</v>
      </c>
      <c r="C152" s="10">
        <f>SUM(C143:C151)</f>
        <v>1668</v>
      </c>
      <c r="D152" s="10">
        <f>SUM(D143:D151)</f>
        <v>1380</v>
      </c>
      <c r="E152" s="10">
        <f>SUM(E143:E151)</f>
        <v>1305</v>
      </c>
      <c r="F152" s="10">
        <f>SUM(F143:F151)</f>
        <v>1305</v>
      </c>
      <c r="G152" s="12">
        <f t="shared" ref="G152" si="10">K152/B152</f>
        <v>0.93582029829028679</v>
      </c>
      <c r="H152" s="12">
        <f t="shared" ref="H152" si="11">K152/C152</f>
        <v>3.0846163069544343</v>
      </c>
      <c r="I152" s="12">
        <f t="shared" ref="I152" si="12">K152/F152</f>
        <v>3.9426360153256681</v>
      </c>
      <c r="J152" s="10">
        <f>SUM(J143:J151)</f>
        <v>29</v>
      </c>
      <c r="K152" s="12">
        <f>SUM(K143:K151)</f>
        <v>5145.1399999999967</v>
      </c>
    </row>
    <row r="153" spans="1:11" ht="59" customHeight="1"/>
    <row r="154" spans="1:11" ht="33" customHeight="1">
      <c r="A154" s="4" t="s">
        <v>136</v>
      </c>
      <c r="B154" s="4" t="s">
        <v>65</v>
      </c>
      <c r="C154" s="4" t="s">
        <v>66</v>
      </c>
      <c r="D154" s="4" t="s">
        <v>67</v>
      </c>
      <c r="E154" s="4" t="s">
        <v>68</v>
      </c>
      <c r="F154" s="4" t="s">
        <v>69</v>
      </c>
      <c r="G154" s="4" t="s">
        <v>70</v>
      </c>
      <c r="H154" s="4" t="s">
        <v>71</v>
      </c>
      <c r="I154" s="4" t="s">
        <v>72</v>
      </c>
      <c r="J154" s="4" t="s">
        <v>73</v>
      </c>
      <c r="K154" s="4" t="s">
        <v>74</v>
      </c>
    </row>
    <row r="155" spans="1:11">
      <c r="A155" s="5" t="s">
        <v>293</v>
      </c>
      <c r="B155" s="6">
        <v>151</v>
      </c>
      <c r="C155" s="6">
        <v>119</v>
      </c>
      <c r="D155" s="6">
        <v>96</v>
      </c>
      <c r="E155" s="6">
        <v>40</v>
      </c>
      <c r="F155" s="9">
        <v>12.02</v>
      </c>
      <c r="G155" s="9">
        <f>E155/B143</f>
        <v>8.2987551867219914E-2</v>
      </c>
      <c r="H155" s="9">
        <f>B155/B143</f>
        <v>0.31327800829875518</v>
      </c>
      <c r="I155" s="9">
        <f>C155/B143</f>
        <v>0.24688796680497926</v>
      </c>
      <c r="J155" s="9">
        <f t="shared" ref="J155" si="13">D155/C155</f>
        <v>0.80672268907563027</v>
      </c>
      <c r="K155" s="9">
        <f t="shared" ref="K155" si="14">E155/D155</f>
        <v>0.41666666666666669</v>
      </c>
    </row>
    <row r="156" spans="1:11">
      <c r="A156" s="5" t="s">
        <v>293</v>
      </c>
      <c r="B156" s="6">
        <v>187</v>
      </c>
      <c r="C156" s="6">
        <v>134</v>
      </c>
      <c r="D156" s="6">
        <v>110</v>
      </c>
      <c r="E156" s="6">
        <v>46</v>
      </c>
      <c r="F156" s="9">
        <v>10.19</v>
      </c>
      <c r="G156" s="9">
        <f t="shared" ref="G156:G163" si="15">E156/B144</f>
        <v>6.5340909090909088E-2</v>
      </c>
      <c r="H156" s="9">
        <f t="shared" ref="H156:H163" si="16">B156/B144</f>
        <v>0.265625</v>
      </c>
      <c r="I156" s="9">
        <f t="shared" ref="I156:I163" si="17">C156/B144</f>
        <v>0.19034090909090909</v>
      </c>
      <c r="J156" s="9">
        <f t="shared" ref="J156:J163" si="18">D156/C156</f>
        <v>0.82089552238805974</v>
      </c>
      <c r="K156" s="9">
        <f t="shared" ref="K156:K163" si="19">E156/D156</f>
        <v>0.41818181818181815</v>
      </c>
    </row>
    <row r="157" spans="1:11">
      <c r="A157" s="5" t="s">
        <v>293</v>
      </c>
      <c r="B157" s="6">
        <v>469</v>
      </c>
      <c r="C157" s="6">
        <v>216</v>
      </c>
      <c r="D157" s="6">
        <v>133</v>
      </c>
      <c r="E157" s="6">
        <v>80</v>
      </c>
      <c r="F157" s="9">
        <v>29.26</v>
      </c>
      <c r="G157" s="9">
        <f t="shared" si="15"/>
        <v>0.21390374331550802</v>
      </c>
      <c r="H157" s="9">
        <f t="shared" si="16"/>
        <v>1.2540106951871657</v>
      </c>
      <c r="I157" s="9">
        <f t="shared" si="17"/>
        <v>0.57754010695187163</v>
      </c>
      <c r="J157" s="9">
        <f t="shared" si="18"/>
        <v>0.6157407407407407</v>
      </c>
      <c r="K157" s="9">
        <f t="shared" si="19"/>
        <v>0.60150375939849621</v>
      </c>
    </row>
    <row r="158" spans="1:11">
      <c r="A158" s="5" t="s">
        <v>293</v>
      </c>
      <c r="B158" s="6">
        <v>10</v>
      </c>
      <c r="C158" s="6">
        <v>8</v>
      </c>
      <c r="D158" s="6">
        <v>5</v>
      </c>
      <c r="E158" s="6">
        <v>3</v>
      </c>
      <c r="F158" s="9">
        <v>13.78</v>
      </c>
      <c r="G158" s="9">
        <f t="shared" si="15"/>
        <v>3.0581039755351682E-3</v>
      </c>
      <c r="H158" s="9">
        <f t="shared" si="16"/>
        <v>1.0193679918450561E-2</v>
      </c>
      <c r="I158" s="9">
        <f t="shared" si="17"/>
        <v>8.1549439347604492E-3</v>
      </c>
      <c r="J158" s="9">
        <f t="shared" si="18"/>
        <v>0.625</v>
      </c>
      <c r="K158" s="9">
        <f t="shared" si="19"/>
        <v>0.6</v>
      </c>
    </row>
    <row r="159" spans="1:11">
      <c r="A159" s="5" t="s">
        <v>293</v>
      </c>
      <c r="B159" s="6">
        <v>1128</v>
      </c>
      <c r="C159" s="6">
        <v>559</v>
      </c>
      <c r="D159" s="6">
        <v>356</v>
      </c>
      <c r="E159" s="6">
        <v>216</v>
      </c>
      <c r="F159" s="9">
        <v>27.45</v>
      </c>
      <c r="G159" s="9">
        <f t="shared" si="15"/>
        <v>1.3090909090909091</v>
      </c>
      <c r="H159" s="9">
        <f t="shared" si="16"/>
        <v>6.836363636363636</v>
      </c>
      <c r="I159" s="9">
        <f t="shared" si="17"/>
        <v>3.3878787878787877</v>
      </c>
      <c r="J159" s="9">
        <f t="shared" si="18"/>
        <v>0.63685152057245076</v>
      </c>
      <c r="K159" s="9">
        <f t="shared" si="19"/>
        <v>0.6067415730337079</v>
      </c>
    </row>
    <row r="160" spans="1:11">
      <c r="A160" s="5" t="s">
        <v>293</v>
      </c>
      <c r="B160" s="6">
        <v>167</v>
      </c>
      <c r="C160" s="6">
        <v>79</v>
      </c>
      <c r="D160" s="6">
        <v>44</v>
      </c>
      <c r="E160" s="6">
        <v>35</v>
      </c>
      <c r="F160" s="9">
        <v>26.91</v>
      </c>
      <c r="G160" s="9">
        <f t="shared" si="15"/>
        <v>0.30434782608695654</v>
      </c>
      <c r="H160" s="9">
        <f t="shared" si="16"/>
        <v>1.4521739130434783</v>
      </c>
      <c r="I160" s="9">
        <f t="shared" si="17"/>
        <v>0.68695652173913047</v>
      </c>
      <c r="J160" s="9">
        <f t="shared" si="18"/>
        <v>0.55696202531645567</v>
      </c>
      <c r="K160" s="9">
        <f t="shared" si="19"/>
        <v>0.79545454545454541</v>
      </c>
    </row>
    <row r="161" spans="1:11">
      <c r="A161" s="5" t="s">
        <v>293</v>
      </c>
      <c r="B161" s="6">
        <v>123</v>
      </c>
      <c r="C161" s="6">
        <v>54</v>
      </c>
      <c r="D161" s="6">
        <v>27</v>
      </c>
      <c r="E161" s="6">
        <v>18</v>
      </c>
      <c r="F161" s="9">
        <v>24.45</v>
      </c>
      <c r="G161" s="9">
        <f t="shared" si="15"/>
        <v>3.1088082901554404E-2</v>
      </c>
      <c r="H161" s="9">
        <f t="shared" si="16"/>
        <v>0.21243523316062177</v>
      </c>
      <c r="I161" s="9">
        <f t="shared" si="17"/>
        <v>9.3264248704663211E-2</v>
      </c>
      <c r="J161" s="9">
        <f t="shared" si="18"/>
        <v>0.5</v>
      </c>
      <c r="K161" s="9">
        <f t="shared" si="19"/>
        <v>0.66666666666666663</v>
      </c>
    </row>
    <row r="162" spans="1:11">
      <c r="A162" s="5" t="s">
        <v>293</v>
      </c>
      <c r="B162" s="6">
        <v>624</v>
      </c>
      <c r="C162" s="6">
        <v>279</v>
      </c>
      <c r="D162" s="6">
        <v>157</v>
      </c>
      <c r="E162" s="6">
        <v>113</v>
      </c>
      <c r="F162" s="9">
        <v>23.1</v>
      </c>
      <c r="G162" s="9">
        <f t="shared" si="15"/>
        <v>5.5637616937469228E-2</v>
      </c>
      <c r="H162" s="9">
        <f t="shared" si="16"/>
        <v>0.30723781388478583</v>
      </c>
      <c r="I162" s="9">
        <f t="shared" si="17"/>
        <v>0.13737075332348597</v>
      </c>
      <c r="J162" s="9">
        <f t="shared" si="18"/>
        <v>0.56272401433691754</v>
      </c>
      <c r="K162" s="9">
        <f t="shared" si="19"/>
        <v>0.71974522292993626</v>
      </c>
    </row>
    <row r="163" spans="1:11">
      <c r="A163" s="5" t="s">
        <v>293</v>
      </c>
      <c r="B163" s="6">
        <v>2469</v>
      </c>
      <c r="C163" s="6">
        <v>1225</v>
      </c>
      <c r="D163" s="6">
        <v>754</v>
      </c>
      <c r="E163" s="6">
        <v>534</v>
      </c>
      <c r="F163" s="9">
        <v>25.92</v>
      </c>
      <c r="G163" s="9">
        <f t="shared" si="15"/>
        <v>7.9701492537313436</v>
      </c>
      <c r="H163" s="9">
        <f t="shared" si="16"/>
        <v>36.850746268656714</v>
      </c>
      <c r="I163" s="9">
        <f t="shared" si="17"/>
        <v>18.28358208955224</v>
      </c>
      <c r="J163" s="9">
        <f t="shared" si="18"/>
        <v>0.61551020408163271</v>
      </c>
      <c r="K163" s="9">
        <f t="shared" si="19"/>
        <v>0.70822281167108758</v>
      </c>
    </row>
    <row r="164" spans="1:11" ht="18">
      <c r="A164" s="4" t="s">
        <v>49</v>
      </c>
      <c r="B164" s="10">
        <f>SUM(B155:B163)</f>
        <v>5328</v>
      </c>
      <c r="C164" s="10">
        <f>SUM(C155:C163)</f>
        <v>2673</v>
      </c>
      <c r="D164" s="10">
        <f>SUM(D155:D163)</f>
        <v>1682</v>
      </c>
      <c r="E164" s="10">
        <f>SUM(E155:E163)</f>
        <v>1085</v>
      </c>
      <c r="F164" s="17"/>
      <c r="G164" s="17">
        <f>E164/B152</f>
        <v>0.19734448890505638</v>
      </c>
      <c r="H164" s="17">
        <f>B164/B152</f>
        <v>0.96907966533284828</v>
      </c>
      <c r="I164" s="17">
        <f>C164/B152</f>
        <v>0.48617679156056748</v>
      </c>
      <c r="J164" s="17">
        <f>D164/C152</f>
        <v>1.0083932853717026</v>
      </c>
      <c r="K164" s="17">
        <f>E164/D152</f>
        <v>0.78623188405797106</v>
      </c>
    </row>
    <row r="165" spans="1:11" ht="59" customHeight="1"/>
    <row r="168" spans="1:11">
      <c r="A168" t="s">
        <v>133</v>
      </c>
    </row>
    <row r="169" spans="1:11">
      <c r="A169" t="s">
        <v>134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J1:L1"/>
  </mergeCells>
  <pageMargins left="0.4" right="0.7" top="0.75" bottom="0.75" header="0.3" footer="0.3"/>
  <pageSetup paperSize="9" orientation="portrait"/>
  <headerFooter>
    <oddFooter>&amp;L&amp;BExport (od H3.0 DEMO)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49"/>
  <sheetViews>
    <sheetView showGridLines="0" workbookViewId="0">
      <selection activeCell="I327" sqref="I327"/>
    </sheetView>
  </sheetViews>
  <sheetFormatPr baseColWidth="10" defaultColWidth="8.83203125" defaultRowHeight="15" x14ac:dyDescent="0"/>
  <cols>
    <col min="1" max="9" width="18" customWidth="1"/>
    <col min="10" max="10" width="22.33203125" bestFit="1" customWidth="1"/>
    <col min="11" max="12" width="18" customWidth="1"/>
  </cols>
  <sheetData>
    <row r="1" spans="1:12" ht="49" customHeight="1">
      <c r="A1" s="1" t="s">
        <v>289</v>
      </c>
      <c r="J1" s="21"/>
      <c r="K1" s="22"/>
      <c r="L1" s="22"/>
    </row>
    <row r="2" spans="1:12" ht="15" customHeight="1">
      <c r="A2" t="s">
        <v>0</v>
      </c>
      <c r="C2" s="20" t="s">
        <v>291</v>
      </c>
    </row>
    <row r="3" spans="1:12" ht="15" customHeight="1">
      <c r="A3" t="s">
        <v>1</v>
      </c>
      <c r="C3" t="s">
        <v>2</v>
      </c>
      <c r="E3" s="2" t="s">
        <v>3</v>
      </c>
      <c r="F3">
        <v>26</v>
      </c>
    </row>
    <row r="4" spans="1:12" ht="15" customHeight="1"/>
    <row r="5" spans="1:12" ht="15" customHeight="1"/>
    <row r="6" spans="1:12" ht="41" customHeight="1">
      <c r="A6" s="3" t="s">
        <v>139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6" customHeight="1"/>
    <row r="8" spans="1:12" ht="36" customHeight="1"/>
    <row r="9" spans="1:12" ht="36" customHeight="1"/>
    <row r="10" spans="1:12" ht="36" customHeight="1"/>
    <row r="11" spans="1:12" ht="36" customHeight="1"/>
    <row r="12" spans="1:12" ht="36" customHeight="1"/>
    <row r="13" spans="1:12" ht="36" customHeight="1"/>
    <row r="14" spans="1:12" ht="36" customHeight="1"/>
    <row r="15" spans="1:12" ht="33" customHeight="1">
      <c r="A15" s="4" t="s">
        <v>140</v>
      </c>
      <c r="B15" s="4" t="s">
        <v>141</v>
      </c>
      <c r="C15" s="4" t="s">
        <v>6</v>
      </c>
      <c r="D15" s="4" t="s">
        <v>7</v>
      </c>
      <c r="E15" s="4" t="s">
        <v>8</v>
      </c>
      <c r="F15" s="4" t="s">
        <v>9</v>
      </c>
      <c r="G15" s="4" t="s">
        <v>10</v>
      </c>
      <c r="H15" s="4" t="s">
        <v>11</v>
      </c>
      <c r="I15" s="4" t="s">
        <v>12</v>
      </c>
      <c r="J15" s="4" t="s">
        <v>13</v>
      </c>
      <c r="K15" s="4" t="s">
        <v>14</v>
      </c>
      <c r="L15" s="4" t="s">
        <v>15</v>
      </c>
    </row>
    <row r="16" spans="1:12">
      <c r="A16" s="5" t="s">
        <v>142</v>
      </c>
      <c r="B16" s="5" t="s">
        <v>143</v>
      </c>
      <c r="C16" s="6">
        <v>25893</v>
      </c>
      <c r="D16" s="7">
        <f t="shared" ref="D16:D33" si="0">E16/C16</f>
        <v>1.1316572046499054</v>
      </c>
      <c r="E16" s="6">
        <v>29302</v>
      </c>
      <c r="F16" s="8">
        <f t="shared" ref="F16:F33" si="1">L16/(E16/1000)</f>
        <v>93.007985803016851</v>
      </c>
      <c r="G16" s="6">
        <v>469</v>
      </c>
      <c r="H16" s="8">
        <f t="shared" ref="H16:H33" si="2">L16/G16</f>
        <v>5.8109168443496797</v>
      </c>
      <c r="I16" s="9">
        <f t="shared" ref="I16:I33" si="3">G16/E16</f>
        <v>1.6005733397037744E-2</v>
      </c>
      <c r="J16" s="6">
        <v>1398</v>
      </c>
      <c r="K16" s="8">
        <f t="shared" ref="K16:K33" si="4">L16/(J16/1000)</f>
        <v>1949.4420600858368</v>
      </c>
      <c r="L16" s="8">
        <f>104.82*F3</f>
        <v>2725.3199999999997</v>
      </c>
    </row>
    <row r="17" spans="1:12">
      <c r="A17" s="5" t="s">
        <v>144</v>
      </c>
      <c r="B17" s="5" t="s">
        <v>143</v>
      </c>
      <c r="C17" s="6">
        <v>70412</v>
      </c>
      <c r="D17" s="7">
        <f t="shared" si="0"/>
        <v>1.1006504573084133</v>
      </c>
      <c r="E17" s="6">
        <v>77499</v>
      </c>
      <c r="F17" s="8">
        <f t="shared" si="1"/>
        <v>167.88500496780571</v>
      </c>
      <c r="G17" s="6">
        <v>1934</v>
      </c>
      <c r="H17" s="8">
        <f t="shared" si="2"/>
        <v>6.7274663908996768</v>
      </c>
      <c r="I17" s="9">
        <f t="shared" si="3"/>
        <v>2.495516071175112E-2</v>
      </c>
      <c r="J17" s="6">
        <v>3288</v>
      </c>
      <c r="K17" s="8">
        <f t="shared" si="4"/>
        <v>3957.0924574209171</v>
      </c>
      <c r="L17" s="8">
        <f>500.419999999999*F3</f>
        <v>13010.919999999975</v>
      </c>
    </row>
    <row r="18" spans="1:12">
      <c r="A18" s="5" t="s">
        <v>145</v>
      </c>
      <c r="B18" s="5" t="s">
        <v>143</v>
      </c>
      <c r="C18" s="6">
        <v>32322</v>
      </c>
      <c r="D18" s="7">
        <f t="shared" si="0"/>
        <v>1.1180620011137925</v>
      </c>
      <c r="E18" s="6">
        <v>36138</v>
      </c>
      <c r="F18" s="8">
        <f t="shared" si="1"/>
        <v>227.91189329791354</v>
      </c>
      <c r="G18" s="6">
        <v>860</v>
      </c>
      <c r="H18" s="8">
        <f t="shared" si="2"/>
        <v>9.5770697674418592</v>
      </c>
      <c r="I18" s="9">
        <f t="shared" si="3"/>
        <v>2.3797664508273839E-2</v>
      </c>
      <c r="J18" s="6">
        <v>1965</v>
      </c>
      <c r="K18" s="8">
        <f t="shared" si="4"/>
        <v>4191.4910941475819</v>
      </c>
      <c r="L18" s="8">
        <f>316.78*F3</f>
        <v>8236.2799999999988</v>
      </c>
    </row>
    <row r="19" spans="1:12">
      <c r="A19" s="5" t="s">
        <v>146</v>
      </c>
      <c r="B19" s="5" t="s">
        <v>143</v>
      </c>
      <c r="C19" s="6">
        <v>11643</v>
      </c>
      <c r="D19" s="7">
        <f t="shared" si="0"/>
        <v>1.1640470669071545</v>
      </c>
      <c r="E19" s="6">
        <v>13553</v>
      </c>
      <c r="F19" s="8">
        <f t="shared" si="1"/>
        <v>236.46130008116285</v>
      </c>
      <c r="G19" s="6">
        <v>276</v>
      </c>
      <c r="H19" s="8">
        <f t="shared" si="2"/>
        <v>11.61144927536232</v>
      </c>
      <c r="I19" s="9">
        <f t="shared" si="3"/>
        <v>2.0364494945768464E-2</v>
      </c>
      <c r="J19" s="6">
        <v>1141</v>
      </c>
      <c r="K19" s="8">
        <f t="shared" si="4"/>
        <v>2808.7291849255039</v>
      </c>
      <c r="L19" s="8">
        <f>123.26*F3</f>
        <v>3204.76</v>
      </c>
    </row>
    <row r="20" spans="1:12">
      <c r="A20" s="5" t="s">
        <v>147</v>
      </c>
      <c r="B20" s="5" t="s">
        <v>143</v>
      </c>
      <c r="C20" s="6">
        <v>4858</v>
      </c>
      <c r="D20" s="7">
        <f t="shared" si="0"/>
        <v>1.3151502675998352</v>
      </c>
      <c r="E20" s="6">
        <v>6389</v>
      </c>
      <c r="F20" s="8">
        <f t="shared" si="1"/>
        <v>195.905462513695</v>
      </c>
      <c r="G20" s="6">
        <v>123</v>
      </c>
      <c r="H20" s="8">
        <f t="shared" si="2"/>
        <v>10.175934959349572</v>
      </c>
      <c r="I20" s="9">
        <f t="shared" si="3"/>
        <v>1.9251839098450463E-2</v>
      </c>
      <c r="J20" s="6">
        <v>493</v>
      </c>
      <c r="K20" s="8">
        <f t="shared" si="4"/>
        <v>2538.8235294117594</v>
      </c>
      <c r="L20" s="8">
        <f>48.1399999999999*F3</f>
        <v>1251.6399999999974</v>
      </c>
    </row>
    <row r="21" spans="1:12">
      <c r="A21" s="5" t="s">
        <v>148</v>
      </c>
      <c r="B21" s="5" t="s">
        <v>143</v>
      </c>
      <c r="C21" s="6">
        <v>5806</v>
      </c>
      <c r="D21" s="7">
        <f t="shared" si="0"/>
        <v>1.3269032035825008</v>
      </c>
      <c r="E21" s="6">
        <v>7704</v>
      </c>
      <c r="F21" s="8">
        <f t="shared" si="1"/>
        <v>156.02024922118346</v>
      </c>
      <c r="G21" s="6">
        <v>103</v>
      </c>
      <c r="H21" s="8">
        <f t="shared" si="2"/>
        <v>11.669708737864051</v>
      </c>
      <c r="I21" s="9">
        <f t="shared" si="3"/>
        <v>1.3369678089304258E-2</v>
      </c>
      <c r="J21" s="6">
        <v>550</v>
      </c>
      <c r="K21" s="8">
        <f t="shared" si="4"/>
        <v>2185.4181818181769</v>
      </c>
      <c r="L21" s="8">
        <f>46.2299999999999*F3</f>
        <v>1201.9799999999973</v>
      </c>
    </row>
    <row r="22" spans="1:12">
      <c r="A22" s="5" t="s">
        <v>142</v>
      </c>
      <c r="B22" s="5" t="s">
        <v>149</v>
      </c>
      <c r="C22" s="6">
        <v>85257</v>
      </c>
      <c r="D22" s="7">
        <f t="shared" si="0"/>
        <v>1.1165769379640382</v>
      </c>
      <c r="E22" s="6">
        <v>95196</v>
      </c>
      <c r="F22" s="8">
        <f t="shared" si="1"/>
        <v>102.81356359510876</v>
      </c>
      <c r="G22" s="6">
        <v>2222</v>
      </c>
      <c r="H22" s="8">
        <f t="shared" si="2"/>
        <v>4.4047884788478724</v>
      </c>
      <c r="I22" s="9">
        <f t="shared" si="3"/>
        <v>2.3341316862053027E-2</v>
      </c>
      <c r="J22" s="6">
        <v>7725</v>
      </c>
      <c r="K22" s="8">
        <f t="shared" si="4"/>
        <v>1266.9825242718412</v>
      </c>
      <c r="L22" s="8">
        <f>376.439999999999*F3</f>
        <v>9787.4399999999732</v>
      </c>
    </row>
    <row r="23" spans="1:12">
      <c r="A23" s="5" t="s">
        <v>144</v>
      </c>
      <c r="B23" s="5" t="s">
        <v>149</v>
      </c>
      <c r="C23" s="6">
        <v>213102</v>
      </c>
      <c r="D23" s="7">
        <f t="shared" si="0"/>
        <v>1.1119229289260542</v>
      </c>
      <c r="E23" s="6">
        <v>236953</v>
      </c>
      <c r="F23" s="8">
        <f t="shared" si="1"/>
        <v>149.89723700480576</v>
      </c>
      <c r="G23" s="6">
        <v>5270</v>
      </c>
      <c r="H23" s="8">
        <f t="shared" si="2"/>
        <v>6.7397722960151301</v>
      </c>
      <c r="I23" s="9">
        <f t="shared" si="3"/>
        <v>2.2240697522293452E-2</v>
      </c>
      <c r="J23" s="6">
        <v>16917</v>
      </c>
      <c r="K23" s="8">
        <f t="shared" si="4"/>
        <v>2099.580303836362</v>
      </c>
      <c r="L23" s="8">
        <f>1366.09999999999*F3</f>
        <v>35518.599999999737</v>
      </c>
    </row>
    <row r="24" spans="1:12">
      <c r="A24" s="5" t="s">
        <v>145</v>
      </c>
      <c r="B24" s="5" t="s">
        <v>149</v>
      </c>
      <c r="C24" s="6">
        <v>85093</v>
      </c>
      <c r="D24" s="7">
        <f t="shared" si="0"/>
        <v>1.1088456159731117</v>
      </c>
      <c r="E24" s="6">
        <v>94355</v>
      </c>
      <c r="F24" s="8">
        <f t="shared" si="1"/>
        <v>210.55990673520185</v>
      </c>
      <c r="G24" s="6">
        <v>2148</v>
      </c>
      <c r="H24" s="8">
        <f t="shared" si="2"/>
        <v>9.2492458100558537</v>
      </c>
      <c r="I24" s="9">
        <f t="shared" si="3"/>
        <v>2.2765089290445656E-2</v>
      </c>
      <c r="J24" s="6">
        <v>7170</v>
      </c>
      <c r="K24" s="8">
        <f t="shared" si="4"/>
        <v>2770.9037656903729</v>
      </c>
      <c r="L24" s="8">
        <f>764.129999999999*F3</f>
        <v>19867.379999999972</v>
      </c>
    </row>
    <row r="25" spans="1:12">
      <c r="A25" s="5" t="s">
        <v>146</v>
      </c>
      <c r="B25" s="5" t="s">
        <v>149</v>
      </c>
      <c r="C25" s="6">
        <v>23817</v>
      </c>
      <c r="D25" s="7">
        <f t="shared" si="0"/>
        <v>1.1487592895830709</v>
      </c>
      <c r="E25" s="6">
        <v>27360</v>
      </c>
      <c r="F25" s="8">
        <f t="shared" si="1"/>
        <v>248.49195906432652</v>
      </c>
      <c r="G25" s="6">
        <v>527</v>
      </c>
      <c r="H25" s="8">
        <f t="shared" si="2"/>
        <v>12.900834914610956</v>
      </c>
      <c r="I25" s="9">
        <f t="shared" si="3"/>
        <v>1.9261695906432747E-2</v>
      </c>
      <c r="J25" s="6">
        <v>2626</v>
      </c>
      <c r="K25" s="8">
        <f t="shared" si="4"/>
        <v>2589.0099009900891</v>
      </c>
      <c r="L25" s="8">
        <f>261.489999999999*F3</f>
        <v>6798.7399999999734</v>
      </c>
    </row>
    <row r="26" spans="1:12">
      <c r="A26" s="5" t="s">
        <v>147</v>
      </c>
      <c r="B26" s="5" t="s">
        <v>149</v>
      </c>
      <c r="C26" s="6">
        <v>8115</v>
      </c>
      <c r="D26" s="7">
        <f t="shared" si="0"/>
        <v>1.2134319162045595</v>
      </c>
      <c r="E26" s="6">
        <v>9847</v>
      </c>
      <c r="F26" s="8">
        <f t="shared" si="1"/>
        <v>237.63582817101656</v>
      </c>
      <c r="G26" s="6">
        <v>134</v>
      </c>
      <c r="H26" s="8">
        <f t="shared" si="2"/>
        <v>17.46268656716418</v>
      </c>
      <c r="I26" s="9">
        <f t="shared" si="3"/>
        <v>1.3608205544835991E-2</v>
      </c>
      <c r="J26" s="6">
        <v>1093</v>
      </c>
      <c r="K26" s="8">
        <f t="shared" si="4"/>
        <v>2140.8966148215918</v>
      </c>
      <c r="L26" s="8">
        <f>90*F3</f>
        <v>2340</v>
      </c>
    </row>
    <row r="27" spans="1:12">
      <c r="A27" s="5" t="s">
        <v>148</v>
      </c>
      <c r="B27" s="5" t="s">
        <v>149</v>
      </c>
      <c r="C27" s="6">
        <v>11394</v>
      </c>
      <c r="D27" s="7">
        <f t="shared" si="0"/>
        <v>1.2212568018255221</v>
      </c>
      <c r="E27" s="6">
        <v>13915</v>
      </c>
      <c r="F27" s="8">
        <f t="shared" si="1"/>
        <v>137.40855192238593</v>
      </c>
      <c r="G27" s="6">
        <v>184</v>
      </c>
      <c r="H27" s="8">
        <f t="shared" si="2"/>
        <v>10.391521739130436</v>
      </c>
      <c r="I27" s="9">
        <f t="shared" si="3"/>
        <v>1.3223140495867768E-2</v>
      </c>
      <c r="J27" s="6">
        <v>1292</v>
      </c>
      <c r="K27" s="8">
        <f t="shared" si="4"/>
        <v>1479.9071207430341</v>
      </c>
      <c r="L27" s="8">
        <f>73.54*F3</f>
        <v>1912.0400000000002</v>
      </c>
    </row>
    <row r="28" spans="1:12">
      <c r="A28" s="5" t="s">
        <v>142</v>
      </c>
      <c r="B28" s="5" t="s">
        <v>150</v>
      </c>
      <c r="C28" s="6">
        <v>1016</v>
      </c>
      <c r="D28" s="7">
        <f t="shared" si="0"/>
        <v>1.1318897637795275</v>
      </c>
      <c r="E28" s="6">
        <v>1150</v>
      </c>
      <c r="F28" s="8">
        <f t="shared" si="1"/>
        <v>133.39130434782564</v>
      </c>
      <c r="G28" s="6">
        <v>23</v>
      </c>
      <c r="H28" s="8">
        <f t="shared" si="2"/>
        <v>6.6695652173912814</v>
      </c>
      <c r="I28" s="9">
        <f t="shared" si="3"/>
        <v>0.02</v>
      </c>
      <c r="J28" s="6">
        <v>105</v>
      </c>
      <c r="K28" s="8">
        <f t="shared" si="4"/>
        <v>1460.952380952376</v>
      </c>
      <c r="L28" s="8">
        <f>5.89999999999998*F3</f>
        <v>153.39999999999947</v>
      </c>
    </row>
    <row r="29" spans="1:12">
      <c r="A29" s="5" t="s">
        <v>144</v>
      </c>
      <c r="B29" s="5" t="s">
        <v>150</v>
      </c>
      <c r="C29" s="6">
        <v>5701</v>
      </c>
      <c r="D29" s="7">
        <f t="shared" si="0"/>
        <v>1.104367654797404</v>
      </c>
      <c r="E29" s="6">
        <v>6296</v>
      </c>
      <c r="F29" s="8">
        <f t="shared" si="1"/>
        <v>164.72998729351926</v>
      </c>
      <c r="G29" s="6">
        <v>115</v>
      </c>
      <c r="H29" s="8">
        <f t="shared" si="2"/>
        <v>9.0186086956521514</v>
      </c>
      <c r="I29" s="9">
        <f t="shared" si="3"/>
        <v>1.8265565438373571E-2</v>
      </c>
      <c r="J29" s="6">
        <v>383</v>
      </c>
      <c r="K29" s="8">
        <f t="shared" si="4"/>
        <v>2707.9373368146144</v>
      </c>
      <c r="L29" s="8">
        <f>39.8899999999999*F3</f>
        <v>1037.1399999999974</v>
      </c>
    </row>
    <row r="30" spans="1:12">
      <c r="A30" s="5" t="s">
        <v>145</v>
      </c>
      <c r="B30" s="5" t="s">
        <v>150</v>
      </c>
      <c r="C30" s="6">
        <v>4618</v>
      </c>
      <c r="D30" s="7">
        <f t="shared" si="0"/>
        <v>1.1160675617150282</v>
      </c>
      <c r="E30" s="6">
        <v>5154</v>
      </c>
      <c r="F30" s="8">
        <f t="shared" si="1"/>
        <v>174.34225844004658</v>
      </c>
      <c r="G30" s="6">
        <v>102</v>
      </c>
      <c r="H30" s="8">
        <f t="shared" si="2"/>
        <v>8.8094117647058834</v>
      </c>
      <c r="I30" s="9">
        <f t="shared" si="3"/>
        <v>1.9790454016298021E-2</v>
      </c>
      <c r="J30" s="6">
        <v>342</v>
      </c>
      <c r="K30" s="8">
        <f t="shared" si="4"/>
        <v>2627.3684210526317</v>
      </c>
      <c r="L30" s="8">
        <f>34.56*F3</f>
        <v>898.56000000000006</v>
      </c>
    </row>
    <row r="31" spans="1:12">
      <c r="A31" s="5" t="s">
        <v>146</v>
      </c>
      <c r="B31" s="5" t="s">
        <v>150</v>
      </c>
      <c r="C31" s="6">
        <v>1516</v>
      </c>
      <c r="D31" s="7">
        <f t="shared" si="0"/>
        <v>1.1431398416886545</v>
      </c>
      <c r="E31" s="6">
        <v>1733</v>
      </c>
      <c r="F31" s="8">
        <f t="shared" si="1"/>
        <v>236.74552798614968</v>
      </c>
      <c r="G31" s="6">
        <v>25</v>
      </c>
      <c r="H31" s="8">
        <f t="shared" si="2"/>
        <v>16.411199999999898</v>
      </c>
      <c r="I31" s="9">
        <f t="shared" si="3"/>
        <v>1.4425851125216388E-2</v>
      </c>
      <c r="J31" s="6">
        <v>184</v>
      </c>
      <c r="K31" s="8">
        <f t="shared" si="4"/>
        <v>2229.7826086956384</v>
      </c>
      <c r="L31" s="8">
        <f>15.7799999999999*F3</f>
        <v>410.27999999999741</v>
      </c>
    </row>
    <row r="32" spans="1:12">
      <c r="A32" s="5" t="s">
        <v>147</v>
      </c>
      <c r="B32" s="5" t="s">
        <v>150</v>
      </c>
      <c r="C32" s="6">
        <v>630</v>
      </c>
      <c r="D32" s="7">
        <f t="shared" si="0"/>
        <v>1.1190476190476191</v>
      </c>
      <c r="E32" s="6">
        <v>705</v>
      </c>
      <c r="F32" s="8">
        <f t="shared" si="1"/>
        <v>254.83687943262376</v>
      </c>
      <c r="G32" s="6">
        <v>12</v>
      </c>
      <c r="H32" s="8">
        <f t="shared" si="2"/>
        <v>14.971666666666644</v>
      </c>
      <c r="I32" s="9">
        <f t="shared" si="3"/>
        <v>1.7021276595744681E-2</v>
      </c>
      <c r="J32" s="6">
        <v>81</v>
      </c>
      <c r="K32" s="8">
        <f t="shared" si="4"/>
        <v>2218.0246913580213</v>
      </c>
      <c r="L32" s="8">
        <f>6.90999999999999*F3</f>
        <v>179.65999999999974</v>
      </c>
    </row>
    <row r="33" spans="1:12">
      <c r="A33" s="5" t="s">
        <v>148</v>
      </c>
      <c r="B33" s="5" t="s">
        <v>150</v>
      </c>
      <c r="C33" s="6">
        <v>945</v>
      </c>
      <c r="D33" s="7">
        <f t="shared" si="0"/>
        <v>1.1291005291005292</v>
      </c>
      <c r="E33" s="6">
        <v>1067</v>
      </c>
      <c r="F33" s="8">
        <f t="shared" si="1"/>
        <v>188.84723523898731</v>
      </c>
      <c r="G33" s="6">
        <v>22</v>
      </c>
      <c r="H33" s="8">
        <f t="shared" si="2"/>
        <v>9.1590909090908852</v>
      </c>
      <c r="I33" s="9">
        <f t="shared" si="3"/>
        <v>2.0618556701030927E-2</v>
      </c>
      <c r="J33" s="6">
        <v>91</v>
      </c>
      <c r="K33" s="8">
        <f t="shared" si="4"/>
        <v>2214.2857142857083</v>
      </c>
      <c r="L33" s="8">
        <f>7.74999999999998*F3</f>
        <v>201.49999999999946</v>
      </c>
    </row>
    <row r="34" spans="1:12" ht="59" customHeight="1"/>
    <row r="35" spans="1:12" ht="33" customHeight="1">
      <c r="A35" s="4" t="s">
        <v>140</v>
      </c>
      <c r="B35" s="4" t="s">
        <v>151</v>
      </c>
      <c r="C35" s="4" t="s">
        <v>152</v>
      </c>
      <c r="E35" s="4" t="s">
        <v>141</v>
      </c>
      <c r="F35" s="4" t="s">
        <v>151</v>
      </c>
      <c r="G35" s="4" t="s">
        <v>153</v>
      </c>
    </row>
    <row r="36" spans="1:12">
      <c r="A36" s="5" t="s">
        <v>142</v>
      </c>
      <c r="B36" s="6">
        <v>125648</v>
      </c>
      <c r="C36" s="9">
        <f t="shared" ref="C36:C41" si="5">B36/SUM($B$36:$B$41)</f>
        <v>0.18913890377470963</v>
      </c>
      <c r="D36" s="5"/>
      <c r="E36" s="5" t="s">
        <v>143</v>
      </c>
      <c r="F36" s="6">
        <v>170585</v>
      </c>
      <c r="G36" s="9">
        <f>F36/SUM($F$36:$F$38)</f>
        <v>0.25678291656380398</v>
      </c>
      <c r="H36" s="5"/>
      <c r="I36" s="5"/>
      <c r="J36" s="5"/>
      <c r="K36" s="5"/>
      <c r="L36" s="5"/>
    </row>
    <row r="37" spans="1:12">
      <c r="A37" s="5" t="s">
        <v>144</v>
      </c>
      <c r="B37" s="6">
        <v>320748</v>
      </c>
      <c r="C37" s="9">
        <f t="shared" si="5"/>
        <v>0.4828244389718146</v>
      </c>
      <c r="D37" s="5"/>
      <c r="E37" s="5" t="s">
        <v>149</v>
      </c>
      <c r="F37" s="6">
        <v>477626</v>
      </c>
      <c r="G37" s="9">
        <f>F37/SUM($F$36:$F$38)</f>
        <v>0.71897410268607109</v>
      </c>
      <c r="H37" s="5"/>
      <c r="I37" s="5"/>
      <c r="J37" s="5"/>
      <c r="K37" s="5"/>
      <c r="L37" s="5"/>
    </row>
    <row r="38" spans="1:12">
      <c r="A38" s="5" t="s">
        <v>145</v>
      </c>
      <c r="B38" s="6">
        <v>135647</v>
      </c>
      <c r="C38" s="9">
        <f t="shared" si="5"/>
        <v>0.20419047561702564</v>
      </c>
      <c r="D38" s="5"/>
      <c r="E38" s="5" t="s">
        <v>150</v>
      </c>
      <c r="F38" s="6">
        <v>16105</v>
      </c>
      <c r="G38" s="9">
        <f>F38/SUM($F$36:$F$38)</f>
        <v>2.4242980750124942E-2</v>
      </c>
      <c r="H38" s="5"/>
      <c r="I38" s="5"/>
      <c r="J38" s="5"/>
      <c r="K38" s="5"/>
      <c r="L38" s="5"/>
    </row>
    <row r="39" spans="1:12">
      <c r="A39" s="5" t="s">
        <v>146</v>
      </c>
      <c r="B39" s="6">
        <v>42646</v>
      </c>
      <c r="C39" s="9">
        <f t="shared" si="5"/>
        <v>6.4195352814022236E-2</v>
      </c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5" t="s">
        <v>147</v>
      </c>
      <c r="B40" s="6">
        <v>16941</v>
      </c>
      <c r="C40" s="9">
        <f t="shared" si="5"/>
        <v>2.5501417999867534E-2</v>
      </c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5" t="s">
        <v>148</v>
      </c>
      <c r="B41" s="6">
        <v>22686</v>
      </c>
      <c r="C41" s="9">
        <f t="shared" si="5"/>
        <v>3.4149410822560344E-2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59" customHeight="1"/>
    <row r="44" spans="1:12" ht="41" customHeight="1">
      <c r="A44" s="3" t="s">
        <v>154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36" customHeight="1"/>
    <row r="46" spans="1:12" ht="36" customHeight="1"/>
    <row r="47" spans="1:12" ht="36" customHeight="1"/>
    <row r="48" spans="1:12" ht="36" customHeight="1"/>
    <row r="49" spans="1:12" ht="36" customHeight="1"/>
    <row r="50" spans="1:12" ht="36" customHeight="1"/>
    <row r="51" spans="1:12" ht="36" customHeight="1"/>
    <row r="52" spans="1:12" ht="36" customHeight="1"/>
    <row r="53" spans="1:12" ht="36" customHeight="1"/>
    <row r="54" spans="1:12" ht="36" customHeight="1"/>
    <row r="55" spans="1:12" ht="36" customHeight="1"/>
    <row r="56" spans="1:12" ht="36" customHeight="1"/>
    <row r="57" spans="1:12" ht="36" customHeight="1"/>
    <row r="58" spans="1:12" ht="36" customHeight="1"/>
    <row r="59" spans="1:12" ht="36" customHeight="1"/>
    <row r="60" spans="1:12" ht="33" customHeight="1">
      <c r="A60" s="4" t="s">
        <v>140</v>
      </c>
      <c r="B60" s="4" t="s">
        <v>141</v>
      </c>
      <c r="C60" s="4" t="s">
        <v>6</v>
      </c>
      <c r="D60" s="4" t="s">
        <v>7</v>
      </c>
      <c r="E60" s="4" t="s">
        <v>8</v>
      </c>
      <c r="F60" s="4" t="s">
        <v>45</v>
      </c>
      <c r="G60" s="4" t="s">
        <v>9</v>
      </c>
      <c r="H60" s="4" t="s">
        <v>15</v>
      </c>
      <c r="J60" s="13">
        <f>SUM(H61:H78)/(SUM(E61:E78)/1000)</f>
        <v>163.6805977877992</v>
      </c>
      <c r="K60" s="14">
        <f>AVERAGE(C61:C78)</f>
        <v>32896.555555555555</v>
      </c>
      <c r="L60" s="15">
        <f>AVERAGE(D61:D78)</f>
        <v>1.1567153700981512</v>
      </c>
    </row>
    <row r="61" spans="1:12">
      <c r="A61" s="5" t="s">
        <v>142</v>
      </c>
      <c r="B61" s="5" t="s">
        <v>143</v>
      </c>
      <c r="C61" s="6">
        <v>25893</v>
      </c>
      <c r="D61" s="7">
        <f t="shared" ref="D61:D78" si="6">E61/C61</f>
        <v>1.1316572046499054</v>
      </c>
      <c r="E61" s="6">
        <v>29302</v>
      </c>
      <c r="F61" s="6">
        <v>25893</v>
      </c>
      <c r="G61" s="8">
        <f t="shared" ref="G61:G79" si="7">H61/(E61/1000)</f>
        <v>93.007985803016851</v>
      </c>
      <c r="H61" s="8">
        <f>104.82*F3</f>
        <v>2725.3199999999997</v>
      </c>
      <c r="J61" s="16" t="s">
        <v>46</v>
      </c>
      <c r="K61" s="16" t="s">
        <v>47</v>
      </c>
      <c r="L61" s="16" t="s">
        <v>48</v>
      </c>
    </row>
    <row r="62" spans="1:12">
      <c r="A62" s="5" t="s">
        <v>144</v>
      </c>
      <c r="B62" s="5" t="s">
        <v>143</v>
      </c>
      <c r="C62" s="6">
        <v>70412</v>
      </c>
      <c r="D62" s="7">
        <f t="shared" si="6"/>
        <v>1.1006504573084133</v>
      </c>
      <c r="E62" s="6">
        <v>77499</v>
      </c>
      <c r="F62" s="6">
        <v>70412</v>
      </c>
      <c r="G62" s="8">
        <f t="shared" si="7"/>
        <v>167.88500496780571</v>
      </c>
      <c r="H62" s="8">
        <f>500.419999999999*F3</f>
        <v>13010.919999999975</v>
      </c>
    </row>
    <row r="63" spans="1:12">
      <c r="A63" s="5" t="s">
        <v>145</v>
      </c>
      <c r="B63" s="5" t="s">
        <v>143</v>
      </c>
      <c r="C63" s="6">
        <v>32322</v>
      </c>
      <c r="D63" s="7">
        <f t="shared" si="6"/>
        <v>1.1180620011137925</v>
      </c>
      <c r="E63" s="6">
        <v>36138</v>
      </c>
      <c r="F63" s="6">
        <v>32322</v>
      </c>
      <c r="G63" s="8">
        <f t="shared" si="7"/>
        <v>227.91189329791354</v>
      </c>
      <c r="H63" s="8">
        <f>316.78*F3</f>
        <v>8236.2799999999988</v>
      </c>
    </row>
    <row r="64" spans="1:12">
      <c r="A64" s="5" t="s">
        <v>146</v>
      </c>
      <c r="B64" s="5" t="s">
        <v>143</v>
      </c>
      <c r="C64" s="6">
        <v>11643</v>
      </c>
      <c r="D64" s="7">
        <f t="shared" si="6"/>
        <v>1.1640470669071545</v>
      </c>
      <c r="E64" s="6">
        <v>13553</v>
      </c>
      <c r="F64" s="6">
        <v>11643</v>
      </c>
      <c r="G64" s="8">
        <f t="shared" si="7"/>
        <v>236.46130008116285</v>
      </c>
      <c r="H64" s="8">
        <f>123.26*F3</f>
        <v>3204.76</v>
      </c>
    </row>
    <row r="65" spans="1:8">
      <c r="A65" s="5" t="s">
        <v>147</v>
      </c>
      <c r="B65" s="5" t="s">
        <v>143</v>
      </c>
      <c r="C65" s="6">
        <v>4858</v>
      </c>
      <c r="D65" s="7">
        <f t="shared" si="6"/>
        <v>1.3151502675998352</v>
      </c>
      <c r="E65" s="6">
        <v>6389</v>
      </c>
      <c r="F65" s="6">
        <v>4858</v>
      </c>
      <c r="G65" s="8">
        <f t="shared" si="7"/>
        <v>195.905462513695</v>
      </c>
      <c r="H65" s="8">
        <f>48.1399999999999*F3</f>
        <v>1251.6399999999974</v>
      </c>
    </row>
    <row r="66" spans="1:8">
      <c r="A66" s="5" t="s">
        <v>148</v>
      </c>
      <c r="B66" s="5" t="s">
        <v>143</v>
      </c>
      <c r="C66" s="6">
        <v>5806</v>
      </c>
      <c r="D66" s="7">
        <f t="shared" si="6"/>
        <v>1.3269032035825008</v>
      </c>
      <c r="E66" s="6">
        <v>7704</v>
      </c>
      <c r="F66" s="6">
        <v>5806</v>
      </c>
      <c r="G66" s="8">
        <f t="shared" si="7"/>
        <v>156.02024922118346</v>
      </c>
      <c r="H66" s="8">
        <f>46.2299999999999*F3</f>
        <v>1201.9799999999973</v>
      </c>
    </row>
    <row r="67" spans="1:8">
      <c r="A67" s="5" t="s">
        <v>142</v>
      </c>
      <c r="B67" s="5" t="s">
        <v>149</v>
      </c>
      <c r="C67" s="6">
        <v>85257</v>
      </c>
      <c r="D67" s="7">
        <f t="shared" si="6"/>
        <v>1.1165769379640382</v>
      </c>
      <c r="E67" s="6">
        <v>95196</v>
      </c>
      <c r="F67" s="6">
        <v>85257</v>
      </c>
      <c r="G67" s="8">
        <f t="shared" si="7"/>
        <v>102.81356359510876</v>
      </c>
      <c r="H67" s="8">
        <f>376.439999999999*F3</f>
        <v>9787.4399999999732</v>
      </c>
    </row>
    <row r="68" spans="1:8">
      <c r="A68" s="5" t="s">
        <v>144</v>
      </c>
      <c r="B68" s="5" t="s">
        <v>149</v>
      </c>
      <c r="C68" s="6">
        <v>213102</v>
      </c>
      <c r="D68" s="7">
        <f t="shared" si="6"/>
        <v>1.1119229289260542</v>
      </c>
      <c r="E68" s="6">
        <v>236953</v>
      </c>
      <c r="F68" s="6">
        <v>213102</v>
      </c>
      <c r="G68" s="8">
        <f t="shared" si="7"/>
        <v>149.89723700480576</v>
      </c>
      <c r="H68" s="8">
        <f>1366.09999999999*F3</f>
        <v>35518.599999999737</v>
      </c>
    </row>
    <row r="69" spans="1:8">
      <c r="A69" s="5" t="s">
        <v>145</v>
      </c>
      <c r="B69" s="5" t="s">
        <v>149</v>
      </c>
      <c r="C69" s="6">
        <v>85093</v>
      </c>
      <c r="D69" s="7">
        <f t="shared" si="6"/>
        <v>1.1088456159731117</v>
      </c>
      <c r="E69" s="6">
        <v>94355</v>
      </c>
      <c r="F69" s="6">
        <v>85093</v>
      </c>
      <c r="G69" s="8">
        <f t="shared" si="7"/>
        <v>210.55990673520185</v>
      </c>
      <c r="H69" s="8">
        <f>764.129999999999*F3</f>
        <v>19867.379999999972</v>
      </c>
    </row>
    <row r="70" spans="1:8">
      <c r="A70" s="5" t="s">
        <v>146</v>
      </c>
      <c r="B70" s="5" t="s">
        <v>149</v>
      </c>
      <c r="C70" s="6">
        <v>23817</v>
      </c>
      <c r="D70" s="7">
        <f t="shared" si="6"/>
        <v>1.1487592895830709</v>
      </c>
      <c r="E70" s="6">
        <v>27360</v>
      </c>
      <c r="F70" s="6">
        <v>23817</v>
      </c>
      <c r="G70" s="8">
        <f t="shared" si="7"/>
        <v>248.49195906432652</v>
      </c>
      <c r="H70" s="8">
        <f>261.489999999999*F3</f>
        <v>6798.7399999999734</v>
      </c>
    </row>
    <row r="71" spans="1:8">
      <c r="A71" s="5" t="s">
        <v>147</v>
      </c>
      <c r="B71" s="5" t="s">
        <v>149</v>
      </c>
      <c r="C71" s="6">
        <v>8115</v>
      </c>
      <c r="D71" s="7">
        <f t="shared" si="6"/>
        <v>1.2134319162045595</v>
      </c>
      <c r="E71" s="6">
        <v>9847</v>
      </c>
      <c r="F71" s="6">
        <v>8115</v>
      </c>
      <c r="G71" s="8">
        <f t="shared" si="7"/>
        <v>237.63582817101656</v>
      </c>
      <c r="H71" s="8">
        <f>90*F3</f>
        <v>2340</v>
      </c>
    </row>
    <row r="72" spans="1:8">
      <c r="A72" s="5" t="s">
        <v>148</v>
      </c>
      <c r="B72" s="5" t="s">
        <v>149</v>
      </c>
      <c r="C72" s="6">
        <v>11394</v>
      </c>
      <c r="D72" s="7">
        <f t="shared" si="6"/>
        <v>1.2212568018255221</v>
      </c>
      <c r="E72" s="6">
        <v>13915</v>
      </c>
      <c r="F72" s="6">
        <v>11394</v>
      </c>
      <c r="G72" s="8">
        <f t="shared" si="7"/>
        <v>137.40855192238593</v>
      </c>
      <c r="H72" s="8">
        <f>73.54*F3</f>
        <v>1912.0400000000002</v>
      </c>
    </row>
    <row r="73" spans="1:8">
      <c r="A73" s="5" t="s">
        <v>142</v>
      </c>
      <c r="B73" s="5" t="s">
        <v>150</v>
      </c>
      <c r="C73" s="6">
        <v>1016</v>
      </c>
      <c r="D73" s="7">
        <f t="shared" si="6"/>
        <v>1.1318897637795275</v>
      </c>
      <c r="E73" s="6">
        <v>1150</v>
      </c>
      <c r="F73" s="6">
        <v>1016</v>
      </c>
      <c r="G73" s="8">
        <f t="shared" si="7"/>
        <v>133.39130434782564</v>
      </c>
      <c r="H73" s="8">
        <f>5.89999999999998*F3</f>
        <v>153.39999999999947</v>
      </c>
    </row>
    <row r="74" spans="1:8">
      <c r="A74" s="5" t="s">
        <v>144</v>
      </c>
      <c r="B74" s="5" t="s">
        <v>150</v>
      </c>
      <c r="C74" s="6">
        <v>5701</v>
      </c>
      <c r="D74" s="7">
        <f t="shared" si="6"/>
        <v>1.104367654797404</v>
      </c>
      <c r="E74" s="6">
        <v>6296</v>
      </c>
      <c r="F74" s="6">
        <v>5701</v>
      </c>
      <c r="G74" s="8">
        <f t="shared" si="7"/>
        <v>164.72998729351926</v>
      </c>
      <c r="H74" s="8">
        <f>39.8899999999999*F3</f>
        <v>1037.1399999999974</v>
      </c>
    </row>
    <row r="75" spans="1:8">
      <c r="A75" s="5" t="s">
        <v>145</v>
      </c>
      <c r="B75" s="5" t="s">
        <v>150</v>
      </c>
      <c r="C75" s="6">
        <v>4618</v>
      </c>
      <c r="D75" s="7">
        <f t="shared" si="6"/>
        <v>1.1160675617150282</v>
      </c>
      <c r="E75" s="6">
        <v>5154</v>
      </c>
      <c r="F75" s="6">
        <v>4618</v>
      </c>
      <c r="G75" s="8">
        <f t="shared" si="7"/>
        <v>174.34225844004658</v>
      </c>
      <c r="H75" s="8">
        <f>34.56*F3</f>
        <v>898.56000000000006</v>
      </c>
    </row>
    <row r="76" spans="1:8">
      <c r="A76" s="5" t="s">
        <v>146</v>
      </c>
      <c r="B76" s="5" t="s">
        <v>150</v>
      </c>
      <c r="C76" s="6">
        <v>1516</v>
      </c>
      <c r="D76" s="7">
        <f t="shared" si="6"/>
        <v>1.1431398416886545</v>
      </c>
      <c r="E76" s="6">
        <v>1733</v>
      </c>
      <c r="F76" s="6">
        <v>1516</v>
      </c>
      <c r="G76" s="8">
        <f t="shared" si="7"/>
        <v>236.74552798614968</v>
      </c>
      <c r="H76" s="8">
        <f>15.7799999999999*F3</f>
        <v>410.27999999999741</v>
      </c>
    </row>
    <row r="77" spans="1:8">
      <c r="A77" s="5" t="s">
        <v>147</v>
      </c>
      <c r="B77" s="5" t="s">
        <v>150</v>
      </c>
      <c r="C77" s="6">
        <v>630</v>
      </c>
      <c r="D77" s="7">
        <f t="shared" si="6"/>
        <v>1.1190476190476191</v>
      </c>
      <c r="E77" s="6">
        <v>705</v>
      </c>
      <c r="F77" s="6">
        <v>630</v>
      </c>
      <c r="G77" s="8">
        <f t="shared" si="7"/>
        <v>254.83687943262376</v>
      </c>
      <c r="H77" s="8">
        <f>6.90999999999999*F3</f>
        <v>179.65999999999974</v>
      </c>
    </row>
    <row r="78" spans="1:8">
      <c r="A78" s="5" t="s">
        <v>148</v>
      </c>
      <c r="B78" s="5" t="s">
        <v>150</v>
      </c>
      <c r="C78" s="6">
        <v>945</v>
      </c>
      <c r="D78" s="7">
        <f t="shared" si="6"/>
        <v>1.1291005291005292</v>
      </c>
      <c r="E78" s="6">
        <v>1067</v>
      </c>
      <c r="F78" s="6">
        <v>945</v>
      </c>
      <c r="G78" s="8">
        <f t="shared" si="7"/>
        <v>188.84723523898731</v>
      </c>
      <c r="H78" s="8">
        <f>7.74999999999998*F3</f>
        <v>201.49999999999946</v>
      </c>
    </row>
    <row r="79" spans="1:8" ht="18">
      <c r="A79" s="4" t="s">
        <v>49</v>
      </c>
      <c r="B79" s="4"/>
      <c r="C79" s="10"/>
      <c r="D79" s="11"/>
      <c r="E79" s="10">
        <f>SUM(E61:E78)</f>
        <v>664316</v>
      </c>
      <c r="F79" s="10">
        <f>SUM(F61:F78)</f>
        <v>592138</v>
      </c>
      <c r="G79" s="12">
        <f t="shared" si="7"/>
        <v>163.6805977877992</v>
      </c>
      <c r="H79" s="12">
        <f>SUM(H61:H78)</f>
        <v>108735.63999999962</v>
      </c>
    </row>
    <row r="80" spans="1:8" ht="59" customHeight="1"/>
    <row r="83" spans="1:12" ht="41" customHeight="1">
      <c r="A83" s="3" t="s">
        <v>155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36" customHeight="1"/>
    <row r="85" spans="1:12" ht="36" customHeight="1"/>
    <row r="86" spans="1:12" ht="36" customHeight="1"/>
    <row r="87" spans="1:12" ht="36" customHeight="1"/>
    <row r="88" spans="1:12" ht="36" customHeight="1"/>
    <row r="89" spans="1:12" ht="36" customHeight="1"/>
    <row r="90" spans="1:12" ht="36" customHeight="1"/>
    <row r="91" spans="1:12" ht="36" customHeight="1"/>
    <row r="92" spans="1:12" ht="36" customHeight="1"/>
    <row r="93" spans="1:12" ht="36" customHeight="1"/>
    <row r="94" spans="1:12" ht="36" customHeight="1"/>
    <row r="95" spans="1:12" ht="36" customHeight="1"/>
    <row r="96" spans="1:12" ht="36" customHeight="1"/>
    <row r="97" spans="1:11" ht="36" customHeight="1"/>
    <row r="98" spans="1:11" ht="36" customHeight="1"/>
    <row r="99" spans="1:11" ht="33" customHeight="1">
      <c r="A99" s="4" t="s">
        <v>140</v>
      </c>
      <c r="B99" s="4" t="s">
        <v>141</v>
      </c>
      <c r="C99" s="4" t="s">
        <v>51</v>
      </c>
      <c r="D99" s="4" t="s">
        <v>52</v>
      </c>
      <c r="E99" s="4" t="s">
        <v>53</v>
      </c>
      <c r="F99" s="4" t="s">
        <v>54</v>
      </c>
      <c r="G99" s="4" t="s">
        <v>10</v>
      </c>
      <c r="H99" s="4" t="s">
        <v>11</v>
      </c>
      <c r="I99" s="4" t="s">
        <v>12</v>
      </c>
      <c r="J99" s="4" t="s">
        <v>55</v>
      </c>
      <c r="K99" s="4" t="s">
        <v>15</v>
      </c>
    </row>
    <row r="100" spans="1:11">
      <c r="A100" s="5" t="s">
        <v>142</v>
      </c>
      <c r="B100" s="5" t="s">
        <v>143</v>
      </c>
      <c r="C100" s="6">
        <v>1728</v>
      </c>
      <c r="D100" s="8">
        <f t="shared" ref="D100:D118" si="8">L100/C100</f>
        <v>0</v>
      </c>
      <c r="E100" s="6">
        <v>1631</v>
      </c>
      <c r="F100" s="8">
        <f>28*F3</f>
        <v>728</v>
      </c>
      <c r="G100" s="6">
        <v>469</v>
      </c>
      <c r="H100" s="8">
        <f t="shared" ref="H100:H118" si="9">L100/G100</f>
        <v>0</v>
      </c>
      <c r="I100" s="9">
        <f>G100/29302</f>
        <v>1.6005733397037744E-2</v>
      </c>
      <c r="J100" s="7">
        <f>G100/420</f>
        <v>1.1166666666666667</v>
      </c>
      <c r="K100" s="8">
        <f>104.82*F3</f>
        <v>2725.3199999999997</v>
      </c>
    </row>
    <row r="101" spans="1:11">
      <c r="A101" s="5" t="s">
        <v>144</v>
      </c>
      <c r="B101" s="5" t="s">
        <v>143</v>
      </c>
      <c r="C101" s="6">
        <v>4631</v>
      </c>
      <c r="D101" s="8">
        <f t="shared" si="8"/>
        <v>0</v>
      </c>
      <c r="E101" s="6">
        <v>4360</v>
      </c>
      <c r="F101" s="8">
        <f>246.24*F3</f>
        <v>6402.24</v>
      </c>
      <c r="G101" s="6">
        <v>1934</v>
      </c>
      <c r="H101" s="8">
        <f t="shared" si="9"/>
        <v>0</v>
      </c>
      <c r="I101" s="9">
        <f>G101/77499</f>
        <v>2.495516071175112E-2</v>
      </c>
      <c r="J101" s="7">
        <f>G101/1654</f>
        <v>1.1692865779927448</v>
      </c>
      <c r="K101" s="8">
        <f>500.419999999999*F3</f>
        <v>13010.919999999975</v>
      </c>
    </row>
    <row r="102" spans="1:11">
      <c r="A102" s="5" t="s">
        <v>145</v>
      </c>
      <c r="B102" s="5" t="s">
        <v>143</v>
      </c>
      <c r="C102" s="6">
        <v>2640</v>
      </c>
      <c r="D102" s="8">
        <f t="shared" si="8"/>
        <v>0</v>
      </c>
      <c r="E102" s="6">
        <v>2479</v>
      </c>
      <c r="F102" s="8">
        <f>155.68*F3</f>
        <v>4047.6800000000003</v>
      </c>
      <c r="G102" s="6">
        <v>860</v>
      </c>
      <c r="H102" s="8">
        <f t="shared" si="9"/>
        <v>0</v>
      </c>
      <c r="I102" s="9">
        <f>G102/36138</f>
        <v>2.3797664508273839E-2</v>
      </c>
      <c r="J102" s="7">
        <f>G102/729</f>
        <v>1.1796982167352539</v>
      </c>
      <c r="K102" s="8">
        <f>316.78*F3</f>
        <v>8236.2799999999988</v>
      </c>
    </row>
    <row r="103" spans="1:11">
      <c r="A103" s="5" t="s">
        <v>146</v>
      </c>
      <c r="B103" s="5" t="s">
        <v>143</v>
      </c>
      <c r="C103" s="6">
        <v>1373</v>
      </c>
      <c r="D103" s="8">
        <f t="shared" si="8"/>
        <v>0</v>
      </c>
      <c r="E103" s="6">
        <v>1287</v>
      </c>
      <c r="F103" s="8">
        <f>33.87*F3</f>
        <v>880.61999999999989</v>
      </c>
      <c r="G103" s="6">
        <v>276</v>
      </c>
      <c r="H103" s="8">
        <f t="shared" si="9"/>
        <v>0</v>
      </c>
      <c r="I103" s="9">
        <f>G103/13553</f>
        <v>2.0364494945768464E-2</v>
      </c>
      <c r="J103" s="7">
        <f>G103/234</f>
        <v>1.1794871794871795</v>
      </c>
      <c r="K103" s="8">
        <f>123.26*F3</f>
        <v>3204.76</v>
      </c>
    </row>
    <row r="104" spans="1:11">
      <c r="A104" s="5" t="s">
        <v>147</v>
      </c>
      <c r="B104" s="5" t="s">
        <v>143</v>
      </c>
      <c r="C104" s="6">
        <v>592</v>
      </c>
      <c r="D104" s="8">
        <f t="shared" si="8"/>
        <v>0</v>
      </c>
      <c r="E104" s="6">
        <v>574</v>
      </c>
      <c r="F104" s="8">
        <f>0*F3</f>
        <v>0</v>
      </c>
      <c r="G104" s="6">
        <v>123</v>
      </c>
      <c r="H104" s="8">
        <f t="shared" si="9"/>
        <v>0</v>
      </c>
      <c r="I104" s="9">
        <f>G104/6389</f>
        <v>1.9251839098450463E-2</v>
      </c>
      <c r="J104" s="7">
        <f>G104/110</f>
        <v>1.1181818181818182</v>
      </c>
      <c r="K104" s="8">
        <f>48.1399999999999*F3</f>
        <v>1251.6399999999974</v>
      </c>
    </row>
    <row r="105" spans="1:11">
      <c r="A105" s="5" t="s">
        <v>148</v>
      </c>
      <c r="B105" s="5" t="s">
        <v>143</v>
      </c>
      <c r="C105" s="6">
        <v>653</v>
      </c>
      <c r="D105" s="8">
        <f t="shared" si="8"/>
        <v>0</v>
      </c>
      <c r="E105" s="6">
        <v>609</v>
      </c>
      <c r="F105" s="8">
        <f>0*F3</f>
        <v>0</v>
      </c>
      <c r="G105" s="6">
        <v>103</v>
      </c>
      <c r="H105" s="8">
        <f t="shared" si="9"/>
        <v>0</v>
      </c>
      <c r="I105" s="9">
        <f>G105/7704</f>
        <v>1.3369678089304258E-2</v>
      </c>
      <c r="J105" s="7">
        <f>G105/94</f>
        <v>1.0957446808510638</v>
      </c>
      <c r="K105" s="8">
        <f>46.2299999999999*F3</f>
        <v>1201.9799999999973</v>
      </c>
    </row>
    <row r="106" spans="1:11">
      <c r="A106" s="5" t="s">
        <v>142</v>
      </c>
      <c r="B106" s="5" t="s">
        <v>149</v>
      </c>
      <c r="C106" s="6">
        <v>8823</v>
      </c>
      <c r="D106" s="8">
        <f t="shared" si="8"/>
        <v>0</v>
      </c>
      <c r="E106" s="6">
        <v>8267</v>
      </c>
      <c r="F106" s="8">
        <f>126.57*F3</f>
        <v>3290.8199999999997</v>
      </c>
      <c r="G106" s="6">
        <v>2222</v>
      </c>
      <c r="H106" s="8">
        <f t="shared" si="9"/>
        <v>0</v>
      </c>
      <c r="I106" s="9">
        <f>G106/95196</f>
        <v>2.3341316862053027E-2</v>
      </c>
      <c r="J106" s="7">
        <f>G106/1953</f>
        <v>1.13773681515617</v>
      </c>
      <c r="K106" s="8">
        <f>376.439999999999*F3</f>
        <v>9787.4399999999732</v>
      </c>
    </row>
    <row r="107" spans="1:11">
      <c r="A107" s="5" t="s">
        <v>144</v>
      </c>
      <c r="B107" s="5" t="s">
        <v>149</v>
      </c>
      <c r="C107" s="6">
        <v>20533</v>
      </c>
      <c r="D107" s="8">
        <f t="shared" si="8"/>
        <v>0</v>
      </c>
      <c r="E107" s="6">
        <v>19240</v>
      </c>
      <c r="F107" s="8">
        <f>962.09*F3</f>
        <v>25014.34</v>
      </c>
      <c r="G107" s="6">
        <v>5270</v>
      </c>
      <c r="H107" s="8">
        <f t="shared" si="9"/>
        <v>0</v>
      </c>
      <c r="I107" s="9">
        <f>G107/236953</f>
        <v>2.2240697522293452E-2</v>
      </c>
      <c r="J107" s="7">
        <f>G107/4565</f>
        <v>1.154435925520263</v>
      </c>
      <c r="K107" s="8">
        <f>1366.09999999999*F3</f>
        <v>35518.599999999737</v>
      </c>
    </row>
    <row r="108" spans="1:11">
      <c r="A108" s="5" t="s">
        <v>145</v>
      </c>
      <c r="B108" s="5" t="s">
        <v>149</v>
      </c>
      <c r="C108" s="6">
        <v>8886</v>
      </c>
      <c r="D108" s="8">
        <f t="shared" si="8"/>
        <v>0</v>
      </c>
      <c r="E108" s="6">
        <v>8346</v>
      </c>
      <c r="F108" s="8">
        <f>200.6*F3</f>
        <v>5215.5999999999995</v>
      </c>
      <c r="G108" s="6">
        <v>2148</v>
      </c>
      <c r="H108" s="8">
        <f t="shared" si="9"/>
        <v>0</v>
      </c>
      <c r="I108" s="9">
        <f>G108/94355</f>
        <v>2.2765089290445656E-2</v>
      </c>
      <c r="J108" s="7">
        <f>G108/1797</f>
        <v>1.1953255425709517</v>
      </c>
      <c r="K108" s="8">
        <f>764.129999999999*F3</f>
        <v>19867.379999999972</v>
      </c>
    </row>
    <row r="109" spans="1:11">
      <c r="A109" s="5" t="s">
        <v>146</v>
      </c>
      <c r="B109" s="5" t="s">
        <v>149</v>
      </c>
      <c r="C109" s="6">
        <v>3145</v>
      </c>
      <c r="D109" s="8">
        <f t="shared" si="8"/>
        <v>0</v>
      </c>
      <c r="E109" s="6">
        <v>2908</v>
      </c>
      <c r="F109" s="8">
        <f>119.64*F3</f>
        <v>3110.64</v>
      </c>
      <c r="G109" s="6">
        <v>527</v>
      </c>
      <c r="H109" s="8">
        <f t="shared" si="9"/>
        <v>0</v>
      </c>
      <c r="I109" s="9">
        <f>G109/27360</f>
        <v>1.9261695906432747E-2</v>
      </c>
      <c r="J109" s="7">
        <f>G109/456</f>
        <v>1.1557017543859649</v>
      </c>
      <c r="K109" s="8">
        <f>261.489999999999*F3</f>
        <v>6798.7399999999734</v>
      </c>
    </row>
    <row r="110" spans="1:11">
      <c r="A110" s="5" t="s">
        <v>147</v>
      </c>
      <c r="B110" s="5" t="s">
        <v>149</v>
      </c>
      <c r="C110" s="6">
        <v>1256</v>
      </c>
      <c r="D110" s="8">
        <f t="shared" si="8"/>
        <v>0</v>
      </c>
      <c r="E110" s="6">
        <v>1164</v>
      </c>
      <c r="F110" s="8">
        <f>0*F3</f>
        <v>0</v>
      </c>
      <c r="G110" s="6">
        <v>134</v>
      </c>
      <c r="H110" s="8">
        <f t="shared" si="9"/>
        <v>0</v>
      </c>
      <c r="I110" s="9">
        <f>G110/9847</f>
        <v>1.3608205544835991E-2</v>
      </c>
      <c r="J110" s="7">
        <f>G110/123</f>
        <v>1.089430894308943</v>
      </c>
      <c r="K110" s="8">
        <f>90*F3</f>
        <v>2340</v>
      </c>
    </row>
    <row r="111" spans="1:11">
      <c r="A111" s="5" t="s">
        <v>148</v>
      </c>
      <c r="B111" s="5" t="s">
        <v>149</v>
      </c>
      <c r="C111" s="6">
        <v>1496</v>
      </c>
      <c r="D111" s="8">
        <f t="shared" si="8"/>
        <v>0</v>
      </c>
      <c r="E111" s="6">
        <v>1366</v>
      </c>
      <c r="F111" s="8">
        <f>22.98*F3</f>
        <v>597.48</v>
      </c>
      <c r="G111" s="6">
        <v>184</v>
      </c>
      <c r="H111" s="8">
        <f t="shared" si="9"/>
        <v>0</v>
      </c>
      <c r="I111" s="9">
        <f>G111/13915</f>
        <v>1.3223140495867768E-2</v>
      </c>
      <c r="J111" s="7">
        <f>G111/161</f>
        <v>1.1428571428571428</v>
      </c>
      <c r="K111" s="8">
        <f>73.54*F3</f>
        <v>1912.0400000000002</v>
      </c>
    </row>
    <row r="112" spans="1:11">
      <c r="A112" s="5" t="s">
        <v>142</v>
      </c>
      <c r="B112" s="5" t="s">
        <v>150</v>
      </c>
      <c r="C112" s="6">
        <v>119</v>
      </c>
      <c r="D112" s="8">
        <f t="shared" si="8"/>
        <v>0</v>
      </c>
      <c r="E112" s="6">
        <v>109</v>
      </c>
      <c r="F112" s="8">
        <f>0*F3</f>
        <v>0</v>
      </c>
      <c r="G112" s="6">
        <v>23</v>
      </c>
      <c r="H112" s="8">
        <f t="shared" si="9"/>
        <v>0</v>
      </c>
      <c r="I112" s="9">
        <f>G112/1150</f>
        <v>0.02</v>
      </c>
      <c r="J112" s="7">
        <f>G112/21</f>
        <v>1.0952380952380953</v>
      </c>
      <c r="K112" s="8">
        <f>5.89999999999998*F3</f>
        <v>153.39999999999947</v>
      </c>
    </row>
    <row r="113" spans="1:12">
      <c r="A113" s="5" t="s">
        <v>144</v>
      </c>
      <c r="B113" s="5" t="s">
        <v>150</v>
      </c>
      <c r="C113" s="6">
        <v>474</v>
      </c>
      <c r="D113" s="8">
        <f t="shared" si="8"/>
        <v>0</v>
      </c>
      <c r="E113" s="6">
        <v>438</v>
      </c>
      <c r="F113" s="8">
        <f>11.23*F3</f>
        <v>291.98</v>
      </c>
      <c r="G113" s="6">
        <v>115</v>
      </c>
      <c r="H113" s="8">
        <f t="shared" si="9"/>
        <v>0</v>
      </c>
      <c r="I113" s="9">
        <f>G113/6296</f>
        <v>1.8265565438373571E-2</v>
      </c>
      <c r="J113" s="7">
        <f>G113/98</f>
        <v>1.1734693877551021</v>
      </c>
      <c r="K113" s="8">
        <f>39.8899999999999*F3</f>
        <v>1037.1399999999974</v>
      </c>
    </row>
    <row r="114" spans="1:12">
      <c r="A114" s="5" t="s">
        <v>145</v>
      </c>
      <c r="B114" s="5" t="s">
        <v>150</v>
      </c>
      <c r="C114" s="6">
        <v>427</v>
      </c>
      <c r="D114" s="8">
        <f t="shared" si="8"/>
        <v>0</v>
      </c>
      <c r="E114" s="6">
        <v>405</v>
      </c>
      <c r="F114" s="8">
        <f>57.45*F3</f>
        <v>1493.7</v>
      </c>
      <c r="G114" s="6">
        <v>102</v>
      </c>
      <c r="H114" s="8">
        <f t="shared" si="9"/>
        <v>0</v>
      </c>
      <c r="I114" s="9">
        <f>G114/5154</f>
        <v>1.9790454016298021E-2</v>
      </c>
      <c r="J114" s="7">
        <f>G114/89</f>
        <v>1.146067415730337</v>
      </c>
      <c r="K114" s="8">
        <f>34.56*F3</f>
        <v>898.56000000000006</v>
      </c>
    </row>
    <row r="115" spans="1:12">
      <c r="A115" s="5" t="s">
        <v>146</v>
      </c>
      <c r="B115" s="5" t="s">
        <v>150</v>
      </c>
      <c r="C115" s="6">
        <v>206</v>
      </c>
      <c r="D115" s="8">
        <f t="shared" si="8"/>
        <v>0</v>
      </c>
      <c r="E115" s="6">
        <v>199</v>
      </c>
      <c r="F115" s="8">
        <f>0*F3</f>
        <v>0</v>
      </c>
      <c r="G115" s="6">
        <v>25</v>
      </c>
      <c r="H115" s="8">
        <f t="shared" si="9"/>
        <v>0</v>
      </c>
      <c r="I115" s="9">
        <f>G115/1733</f>
        <v>1.4425851125216388E-2</v>
      </c>
      <c r="J115" s="7">
        <f>G115/21</f>
        <v>1.1904761904761905</v>
      </c>
      <c r="K115" s="8">
        <f>15.7799999999999*F3</f>
        <v>410.27999999999741</v>
      </c>
    </row>
    <row r="116" spans="1:12">
      <c r="A116" s="5" t="s">
        <v>147</v>
      </c>
      <c r="B116" s="5" t="s">
        <v>150</v>
      </c>
      <c r="C116" s="6">
        <v>90</v>
      </c>
      <c r="D116" s="8">
        <f t="shared" si="8"/>
        <v>0</v>
      </c>
      <c r="E116" s="6">
        <v>87</v>
      </c>
      <c r="F116" s="8">
        <f>0*F3</f>
        <v>0</v>
      </c>
      <c r="G116" s="6">
        <v>12</v>
      </c>
      <c r="H116" s="8">
        <f t="shared" si="9"/>
        <v>0</v>
      </c>
      <c r="I116" s="9">
        <f>G116/705</f>
        <v>1.7021276595744681E-2</v>
      </c>
      <c r="J116" s="7">
        <f>G116/10</f>
        <v>1.2</v>
      </c>
      <c r="K116" s="8">
        <f>6.90999999999999*F3</f>
        <v>179.65999999999974</v>
      </c>
    </row>
    <row r="117" spans="1:12">
      <c r="A117" s="5" t="s">
        <v>148</v>
      </c>
      <c r="B117" s="5" t="s">
        <v>150</v>
      </c>
      <c r="C117" s="6">
        <v>117</v>
      </c>
      <c r="D117" s="8">
        <f t="shared" si="8"/>
        <v>0</v>
      </c>
      <c r="E117" s="6">
        <v>108</v>
      </c>
      <c r="F117" s="8">
        <f>0*F3</f>
        <v>0</v>
      </c>
      <c r="G117" s="6">
        <v>22</v>
      </c>
      <c r="H117" s="8">
        <f t="shared" si="9"/>
        <v>0</v>
      </c>
      <c r="I117" s="9">
        <f>G117/1067</f>
        <v>2.0618556701030927E-2</v>
      </c>
      <c r="J117" s="7">
        <f>G117/20</f>
        <v>1.1000000000000001</v>
      </c>
      <c r="K117" s="8">
        <f>7.74999999999998*F3</f>
        <v>201.49999999999946</v>
      </c>
    </row>
    <row r="118" spans="1:12" ht="18">
      <c r="A118" s="4" t="s">
        <v>49</v>
      </c>
      <c r="B118" s="4"/>
      <c r="C118" s="10">
        <f>SUM(C100:C117)</f>
        <v>57189</v>
      </c>
      <c r="D118" s="12">
        <f t="shared" si="8"/>
        <v>0</v>
      </c>
      <c r="E118" s="10"/>
      <c r="F118" s="12">
        <f>SUM(F100:F117)</f>
        <v>51073.1</v>
      </c>
      <c r="G118" s="10">
        <f>SUM(G100:G117)</f>
        <v>14549</v>
      </c>
      <c r="H118" s="12">
        <f t="shared" si="9"/>
        <v>0</v>
      </c>
      <c r="I118" s="17">
        <f>AVERAGE(I100:I117)</f>
        <v>1.9017023347176566E-2</v>
      </c>
      <c r="J118" s="11"/>
      <c r="K118" s="12">
        <f>SUM(L100:L117)</f>
        <v>0</v>
      </c>
    </row>
    <row r="119" spans="1:12" ht="59" customHeight="1"/>
    <row r="122" spans="1:12" ht="41" customHeight="1">
      <c r="A122" s="3" t="s">
        <v>156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36" customHeight="1"/>
    <row r="124" spans="1:12" ht="36" customHeight="1"/>
    <row r="125" spans="1:12" ht="36" customHeight="1"/>
    <row r="126" spans="1:12" ht="36" customHeight="1"/>
    <row r="127" spans="1:12" ht="36" customHeight="1"/>
    <row r="128" spans="1:12" ht="36" customHeight="1"/>
    <row r="129" spans="1:12" ht="36" customHeight="1"/>
    <row r="130" spans="1:12" ht="36" customHeight="1"/>
    <row r="131" spans="1:12" ht="36" customHeight="1"/>
    <row r="132" spans="1:12" ht="36" customHeight="1"/>
    <row r="133" spans="1:12" ht="36" customHeight="1"/>
    <row r="134" spans="1:12" ht="36" customHeight="1"/>
    <row r="135" spans="1:12" ht="36" customHeight="1"/>
    <row r="136" spans="1:12" ht="36" customHeight="1"/>
    <row r="137" spans="1:12" ht="36" customHeight="1"/>
    <row r="138" spans="1:12" ht="33" customHeight="1">
      <c r="A138" s="4" t="s">
        <v>140</v>
      </c>
      <c r="B138" s="4" t="s">
        <v>141</v>
      </c>
      <c r="C138" s="4" t="s">
        <v>13</v>
      </c>
      <c r="D138" s="4" t="s">
        <v>57</v>
      </c>
      <c r="E138" s="4" t="s">
        <v>58</v>
      </c>
      <c r="F138" s="4" t="s">
        <v>59</v>
      </c>
      <c r="G138" s="4" t="s">
        <v>60</v>
      </c>
      <c r="H138" s="4" t="s">
        <v>61</v>
      </c>
      <c r="I138" s="4" t="s">
        <v>62</v>
      </c>
      <c r="J138" s="4" t="s">
        <v>63</v>
      </c>
      <c r="K138" s="4" t="s">
        <v>64</v>
      </c>
      <c r="L138" s="4" t="s">
        <v>15</v>
      </c>
    </row>
    <row r="139" spans="1:12">
      <c r="A139" s="5" t="s">
        <v>142</v>
      </c>
      <c r="B139" s="5" t="s">
        <v>143</v>
      </c>
      <c r="C139" s="6">
        <v>1398</v>
      </c>
      <c r="D139" s="6">
        <v>546</v>
      </c>
      <c r="E139" s="6">
        <v>364</v>
      </c>
      <c r="F139" s="6">
        <v>218</v>
      </c>
      <c r="G139" s="6">
        <v>218</v>
      </c>
      <c r="H139" s="8">
        <f t="shared" ref="H139:H157" si="10">L139/C139</f>
        <v>1.9494420600858366</v>
      </c>
      <c r="I139" s="8">
        <f t="shared" ref="I139:I157" si="11">L139/D139</f>
        <v>4.9914285714285711</v>
      </c>
      <c r="J139" s="8">
        <f t="shared" ref="J139:J156" si="12">L139/G139</f>
        <v>12.501467889908255</v>
      </c>
      <c r="K139" s="6">
        <v>566</v>
      </c>
      <c r="L139" s="8">
        <f>104.82*F3</f>
        <v>2725.3199999999997</v>
      </c>
    </row>
    <row r="140" spans="1:12">
      <c r="A140" s="5" t="s">
        <v>144</v>
      </c>
      <c r="B140" s="5" t="s">
        <v>143</v>
      </c>
      <c r="C140" s="6">
        <v>3288</v>
      </c>
      <c r="D140" s="6">
        <v>1300</v>
      </c>
      <c r="E140" s="6">
        <v>931</v>
      </c>
      <c r="F140" s="6">
        <v>577</v>
      </c>
      <c r="G140" s="6">
        <v>577</v>
      </c>
      <c r="H140" s="8">
        <f t="shared" si="10"/>
        <v>3.957092457420917</v>
      </c>
      <c r="I140" s="8">
        <f t="shared" si="11"/>
        <v>10.00839999999998</v>
      </c>
      <c r="J140" s="8">
        <f t="shared" si="12"/>
        <v>22.549254766031151</v>
      </c>
      <c r="K140" s="6">
        <v>745</v>
      </c>
      <c r="L140" s="8">
        <f>500.419999999999*F3</f>
        <v>13010.919999999975</v>
      </c>
    </row>
    <row r="141" spans="1:12">
      <c r="A141" s="5" t="s">
        <v>145</v>
      </c>
      <c r="B141" s="5" t="s">
        <v>143</v>
      </c>
      <c r="C141" s="6">
        <v>1965</v>
      </c>
      <c r="D141" s="6">
        <v>678</v>
      </c>
      <c r="E141" s="6">
        <v>449</v>
      </c>
      <c r="F141" s="6">
        <v>261</v>
      </c>
      <c r="G141" s="6">
        <v>261</v>
      </c>
      <c r="H141" s="8">
        <f t="shared" si="10"/>
        <v>4.1914910941475823</v>
      </c>
      <c r="I141" s="8">
        <f t="shared" si="11"/>
        <v>12.147905604719762</v>
      </c>
      <c r="J141" s="8">
        <f t="shared" si="12"/>
        <v>31.556628352490417</v>
      </c>
      <c r="K141" s="6">
        <v>782</v>
      </c>
      <c r="L141" s="8">
        <f>316.78*F3</f>
        <v>8236.2799999999988</v>
      </c>
    </row>
    <row r="142" spans="1:12">
      <c r="A142" s="5" t="s">
        <v>146</v>
      </c>
      <c r="B142" s="5" t="s">
        <v>143</v>
      </c>
      <c r="C142" s="6">
        <v>1141</v>
      </c>
      <c r="D142" s="6">
        <v>360</v>
      </c>
      <c r="E142" s="6">
        <v>241</v>
      </c>
      <c r="F142" s="6">
        <v>151</v>
      </c>
      <c r="G142" s="6">
        <v>151</v>
      </c>
      <c r="H142" s="8">
        <f t="shared" si="10"/>
        <v>2.8087291849255043</v>
      </c>
      <c r="I142" s="8">
        <f t="shared" si="11"/>
        <v>8.9021111111111111</v>
      </c>
      <c r="J142" s="8">
        <f t="shared" si="12"/>
        <v>21.2235761589404</v>
      </c>
      <c r="K142" s="6">
        <v>879</v>
      </c>
      <c r="L142" s="8">
        <f>123.26*F3</f>
        <v>3204.76</v>
      </c>
    </row>
    <row r="143" spans="1:12">
      <c r="A143" s="5" t="s">
        <v>147</v>
      </c>
      <c r="B143" s="5" t="s">
        <v>143</v>
      </c>
      <c r="C143" s="6">
        <v>493</v>
      </c>
      <c r="D143" s="6">
        <v>156</v>
      </c>
      <c r="E143" s="6">
        <v>99</v>
      </c>
      <c r="F143" s="6">
        <v>54</v>
      </c>
      <c r="G143" s="6">
        <v>54</v>
      </c>
      <c r="H143" s="8">
        <f t="shared" si="10"/>
        <v>2.5388235294117596</v>
      </c>
      <c r="I143" s="8">
        <f t="shared" si="11"/>
        <v>8.0233333333333157</v>
      </c>
      <c r="J143" s="8">
        <f t="shared" si="12"/>
        <v>23.178518518518469</v>
      </c>
      <c r="K143" s="6">
        <v>743</v>
      </c>
      <c r="L143" s="8">
        <f>48.1399999999999*F3</f>
        <v>1251.6399999999974</v>
      </c>
    </row>
    <row r="144" spans="1:12">
      <c r="A144" s="5" t="s">
        <v>148</v>
      </c>
      <c r="B144" s="5" t="s">
        <v>143</v>
      </c>
      <c r="C144" s="6">
        <v>550</v>
      </c>
      <c r="D144" s="6">
        <v>182</v>
      </c>
      <c r="E144" s="6">
        <v>121</v>
      </c>
      <c r="F144" s="6">
        <v>81</v>
      </c>
      <c r="G144" s="6">
        <v>81</v>
      </c>
      <c r="H144" s="8">
        <f t="shared" si="10"/>
        <v>2.1854181818181768</v>
      </c>
      <c r="I144" s="8">
        <f t="shared" si="11"/>
        <v>6.604285714285699</v>
      </c>
      <c r="J144" s="8">
        <f t="shared" si="12"/>
        <v>14.839259259259226</v>
      </c>
      <c r="K144" s="6">
        <v>768</v>
      </c>
      <c r="L144" s="8">
        <f>46.2299999999999*F3</f>
        <v>1201.9799999999973</v>
      </c>
    </row>
    <row r="145" spans="1:12">
      <c r="A145" s="5" t="s">
        <v>142</v>
      </c>
      <c r="B145" s="5" t="s">
        <v>149</v>
      </c>
      <c r="C145" s="6">
        <v>7725</v>
      </c>
      <c r="D145" s="6">
        <v>4157</v>
      </c>
      <c r="E145" s="6">
        <v>3045</v>
      </c>
      <c r="F145" s="6">
        <v>1686</v>
      </c>
      <c r="G145" s="6">
        <v>1686</v>
      </c>
      <c r="H145" s="8">
        <f t="shared" si="10"/>
        <v>1.2669825242718411</v>
      </c>
      <c r="I145" s="8">
        <f t="shared" si="11"/>
        <v>2.3544479191724736</v>
      </c>
      <c r="J145" s="8">
        <f t="shared" si="12"/>
        <v>5.805124555160126</v>
      </c>
      <c r="K145" s="6">
        <v>730</v>
      </c>
      <c r="L145" s="8">
        <f>376.439999999999*F3</f>
        <v>9787.4399999999732</v>
      </c>
    </row>
    <row r="146" spans="1:12">
      <c r="A146" s="5" t="s">
        <v>144</v>
      </c>
      <c r="B146" s="5" t="s">
        <v>149</v>
      </c>
      <c r="C146" s="6">
        <v>16917</v>
      </c>
      <c r="D146" s="6">
        <v>8808</v>
      </c>
      <c r="E146" s="6">
        <v>6682</v>
      </c>
      <c r="F146" s="6">
        <v>3794</v>
      </c>
      <c r="G146" s="6">
        <v>3794</v>
      </c>
      <c r="H146" s="8">
        <f t="shared" si="10"/>
        <v>2.0995803038363618</v>
      </c>
      <c r="I146" s="8">
        <f t="shared" si="11"/>
        <v>4.0325386012715416</v>
      </c>
      <c r="J146" s="8">
        <f t="shared" si="12"/>
        <v>9.3617817606746794</v>
      </c>
      <c r="K146" s="6">
        <v>976</v>
      </c>
      <c r="L146" s="8">
        <f>1366.09999999999*F3</f>
        <v>35518.599999999737</v>
      </c>
    </row>
    <row r="147" spans="1:12">
      <c r="A147" s="5" t="s">
        <v>145</v>
      </c>
      <c r="B147" s="5" t="s">
        <v>149</v>
      </c>
      <c r="C147" s="6">
        <v>7170</v>
      </c>
      <c r="D147" s="6">
        <v>3510</v>
      </c>
      <c r="E147" s="6">
        <v>2629</v>
      </c>
      <c r="F147" s="6">
        <v>1423</v>
      </c>
      <c r="G147" s="6">
        <v>1423</v>
      </c>
      <c r="H147" s="8">
        <f t="shared" si="10"/>
        <v>2.7709037656903726</v>
      </c>
      <c r="I147" s="8">
        <f t="shared" si="11"/>
        <v>5.6602222222222141</v>
      </c>
      <c r="J147" s="8">
        <f t="shared" si="12"/>
        <v>13.961616303583957</v>
      </c>
      <c r="K147" s="6">
        <v>918</v>
      </c>
      <c r="L147" s="8">
        <f>764.129999999999*F3</f>
        <v>19867.379999999972</v>
      </c>
    </row>
    <row r="148" spans="1:12">
      <c r="A148" s="5" t="s">
        <v>146</v>
      </c>
      <c r="B148" s="5" t="s">
        <v>149</v>
      </c>
      <c r="C148" s="6">
        <v>2626</v>
      </c>
      <c r="D148" s="6">
        <v>1104</v>
      </c>
      <c r="E148" s="6">
        <v>794</v>
      </c>
      <c r="F148" s="6">
        <v>453</v>
      </c>
      <c r="G148" s="6">
        <v>453</v>
      </c>
      <c r="H148" s="8">
        <f t="shared" si="10"/>
        <v>2.5890099009900891</v>
      </c>
      <c r="I148" s="8">
        <f t="shared" si="11"/>
        <v>6.1582789855072226</v>
      </c>
      <c r="J148" s="8">
        <f t="shared" si="12"/>
        <v>15.008256070640117</v>
      </c>
      <c r="K148" s="6">
        <v>799</v>
      </c>
      <c r="L148" s="8">
        <f>261.489999999999*F3</f>
        <v>6798.7399999999734</v>
      </c>
    </row>
    <row r="149" spans="1:12">
      <c r="A149" s="5" t="s">
        <v>147</v>
      </c>
      <c r="B149" s="5" t="s">
        <v>149</v>
      </c>
      <c r="C149" s="6">
        <v>1093</v>
      </c>
      <c r="D149" s="6">
        <v>402</v>
      </c>
      <c r="E149" s="6">
        <v>284</v>
      </c>
      <c r="F149" s="6">
        <v>187</v>
      </c>
      <c r="G149" s="6">
        <v>187</v>
      </c>
      <c r="H149" s="8">
        <f t="shared" si="10"/>
        <v>2.140896614821592</v>
      </c>
      <c r="I149" s="8">
        <f t="shared" si="11"/>
        <v>5.8208955223880601</v>
      </c>
      <c r="J149" s="8">
        <f t="shared" si="12"/>
        <v>12.51336898395722</v>
      </c>
      <c r="K149" s="6">
        <v>826</v>
      </c>
      <c r="L149" s="8">
        <f>90*F3</f>
        <v>2340</v>
      </c>
    </row>
    <row r="150" spans="1:12">
      <c r="A150" s="5" t="s">
        <v>148</v>
      </c>
      <c r="B150" s="5" t="s">
        <v>149</v>
      </c>
      <c r="C150" s="6">
        <v>1292</v>
      </c>
      <c r="D150" s="6">
        <v>597</v>
      </c>
      <c r="E150" s="6">
        <v>433</v>
      </c>
      <c r="F150" s="6">
        <v>266</v>
      </c>
      <c r="G150" s="6">
        <v>266</v>
      </c>
      <c r="H150" s="8">
        <f t="shared" si="10"/>
        <v>1.4799071207430341</v>
      </c>
      <c r="I150" s="8">
        <f t="shared" si="11"/>
        <v>3.2027470686767172</v>
      </c>
      <c r="J150" s="8">
        <f t="shared" si="12"/>
        <v>7.1881203007518808</v>
      </c>
      <c r="K150" s="6">
        <v>901</v>
      </c>
      <c r="L150" s="8">
        <f>73.54*F3</f>
        <v>1912.0400000000002</v>
      </c>
    </row>
    <row r="151" spans="1:12">
      <c r="A151" s="5" t="s">
        <v>142</v>
      </c>
      <c r="B151" s="5" t="s">
        <v>150</v>
      </c>
      <c r="C151" s="6">
        <v>105</v>
      </c>
      <c r="D151" s="6">
        <v>54</v>
      </c>
      <c r="E151" s="6">
        <v>36</v>
      </c>
      <c r="F151" s="6">
        <v>17</v>
      </c>
      <c r="G151" s="6">
        <v>17</v>
      </c>
      <c r="H151" s="8">
        <f t="shared" si="10"/>
        <v>1.4609523809523759</v>
      </c>
      <c r="I151" s="8">
        <f t="shared" si="11"/>
        <v>2.8407407407407308</v>
      </c>
      <c r="J151" s="8">
        <f t="shared" si="12"/>
        <v>9.0235294117646738</v>
      </c>
      <c r="K151" s="6">
        <v>492</v>
      </c>
      <c r="L151" s="8">
        <f>5.89999999999998*F3</f>
        <v>153.39999999999947</v>
      </c>
    </row>
    <row r="152" spans="1:12">
      <c r="A152" s="5" t="s">
        <v>144</v>
      </c>
      <c r="B152" s="5" t="s">
        <v>150</v>
      </c>
      <c r="C152" s="6">
        <v>383</v>
      </c>
      <c r="D152" s="6">
        <v>190</v>
      </c>
      <c r="E152" s="6">
        <v>154</v>
      </c>
      <c r="F152" s="6">
        <v>98</v>
      </c>
      <c r="G152" s="6">
        <v>98</v>
      </c>
      <c r="H152" s="8">
        <f t="shared" si="10"/>
        <v>2.7079373368146147</v>
      </c>
      <c r="I152" s="8">
        <f t="shared" si="11"/>
        <v>5.4586315789473545</v>
      </c>
      <c r="J152" s="8">
        <f t="shared" si="12"/>
        <v>10.58306122448977</v>
      </c>
      <c r="K152" s="6">
        <v>771</v>
      </c>
      <c r="L152" s="8">
        <f>39.8899999999999*F3</f>
        <v>1037.1399999999974</v>
      </c>
    </row>
    <row r="153" spans="1:12">
      <c r="A153" s="5" t="s">
        <v>145</v>
      </c>
      <c r="B153" s="5" t="s">
        <v>150</v>
      </c>
      <c r="C153" s="6">
        <v>342</v>
      </c>
      <c r="D153" s="6">
        <v>144</v>
      </c>
      <c r="E153" s="6">
        <v>110</v>
      </c>
      <c r="F153" s="6">
        <v>68</v>
      </c>
      <c r="G153" s="6">
        <v>68</v>
      </c>
      <c r="H153" s="8">
        <f t="shared" si="10"/>
        <v>2.6273684210526316</v>
      </c>
      <c r="I153" s="8">
        <f t="shared" si="11"/>
        <v>6.24</v>
      </c>
      <c r="J153" s="8">
        <f t="shared" si="12"/>
        <v>13.214117647058824</v>
      </c>
      <c r="K153" s="6">
        <v>644</v>
      </c>
      <c r="L153" s="8">
        <f>34.56*F3</f>
        <v>898.56000000000006</v>
      </c>
    </row>
    <row r="154" spans="1:12">
      <c r="A154" s="5" t="s">
        <v>146</v>
      </c>
      <c r="B154" s="5" t="s">
        <v>150</v>
      </c>
      <c r="C154" s="6">
        <v>184</v>
      </c>
      <c r="D154" s="6">
        <v>67</v>
      </c>
      <c r="E154" s="6">
        <v>42</v>
      </c>
      <c r="F154" s="6">
        <v>21</v>
      </c>
      <c r="G154" s="6">
        <v>21</v>
      </c>
      <c r="H154" s="8">
        <f t="shared" si="10"/>
        <v>2.229782608695638</v>
      </c>
      <c r="I154" s="8">
        <f t="shared" si="11"/>
        <v>6.1235820895522002</v>
      </c>
      <c r="J154" s="8">
        <f t="shared" si="12"/>
        <v>19.537142857142733</v>
      </c>
      <c r="K154" s="6">
        <v>505</v>
      </c>
      <c r="L154" s="8">
        <f>15.7799999999999*F3</f>
        <v>410.27999999999741</v>
      </c>
    </row>
    <row r="155" spans="1:12">
      <c r="A155" s="5" t="s">
        <v>147</v>
      </c>
      <c r="B155" s="5" t="s">
        <v>150</v>
      </c>
      <c r="C155" s="6">
        <v>81</v>
      </c>
      <c r="D155" s="6">
        <v>22</v>
      </c>
      <c r="E155" s="6">
        <v>15</v>
      </c>
      <c r="F155" s="6">
        <v>8</v>
      </c>
      <c r="G155" s="6">
        <v>8</v>
      </c>
      <c r="H155" s="8">
        <f t="shared" si="10"/>
        <v>2.2180246913580213</v>
      </c>
      <c r="I155" s="8">
        <f t="shared" si="11"/>
        <v>8.1663636363636254</v>
      </c>
      <c r="J155" s="8">
        <f t="shared" si="12"/>
        <v>22.457499999999968</v>
      </c>
      <c r="K155" s="6">
        <v>510</v>
      </c>
      <c r="L155" s="8">
        <f>6.90999999999999*F3</f>
        <v>179.65999999999974</v>
      </c>
    </row>
    <row r="156" spans="1:12">
      <c r="A156" s="5" t="s">
        <v>148</v>
      </c>
      <c r="B156" s="5" t="s">
        <v>150</v>
      </c>
      <c r="C156" s="6">
        <v>91</v>
      </c>
      <c r="D156" s="6">
        <v>37</v>
      </c>
      <c r="E156" s="6">
        <v>26</v>
      </c>
      <c r="F156" s="6">
        <v>16</v>
      </c>
      <c r="G156" s="6">
        <v>16</v>
      </c>
      <c r="H156" s="8">
        <f t="shared" si="10"/>
        <v>2.2142857142857082</v>
      </c>
      <c r="I156" s="8">
        <f t="shared" si="11"/>
        <v>5.4459459459459314</v>
      </c>
      <c r="J156" s="8">
        <f t="shared" si="12"/>
        <v>12.593749999999966</v>
      </c>
      <c r="K156" s="6">
        <v>416</v>
      </c>
      <c r="L156" s="8">
        <f>7.74999999999998*F3</f>
        <v>201.49999999999946</v>
      </c>
    </row>
    <row r="157" spans="1:12" ht="18">
      <c r="A157" s="4" t="s">
        <v>49</v>
      </c>
      <c r="B157" s="4"/>
      <c r="C157" s="10">
        <f>SUM(C139:C156)</f>
        <v>46844</v>
      </c>
      <c r="D157" s="10">
        <f>SUM(D139:D156)</f>
        <v>22314</v>
      </c>
      <c r="E157" s="10">
        <f>SUM(E139:E156)</f>
        <v>16455</v>
      </c>
      <c r="F157" s="10">
        <f>SUM(F139:F156)</f>
        <v>9379</v>
      </c>
      <c r="G157" s="10">
        <f>SUM(G139:G156)</f>
        <v>9379</v>
      </c>
      <c r="H157" s="12">
        <f t="shared" si="10"/>
        <v>2.3212287592861331</v>
      </c>
      <c r="I157" s="12">
        <f t="shared" si="11"/>
        <v>4.8729783992112408</v>
      </c>
      <c r="J157" s="12">
        <f>L157/E157</f>
        <v>6.6080607718018607</v>
      </c>
      <c r="K157" s="10">
        <f>SUM(K139:K156)</f>
        <v>12971</v>
      </c>
      <c r="L157" s="12">
        <f>SUM(L139:L156)</f>
        <v>108735.63999999962</v>
      </c>
    </row>
    <row r="158" spans="1:12" ht="59" customHeight="1"/>
    <row r="159" spans="1:12" ht="33" customHeight="1">
      <c r="A159" s="4" t="s">
        <v>140</v>
      </c>
      <c r="B159" s="4" t="s">
        <v>141</v>
      </c>
      <c r="C159" s="4" t="s">
        <v>65</v>
      </c>
      <c r="D159" s="4" t="s">
        <v>66</v>
      </c>
      <c r="E159" s="4" t="s">
        <v>67</v>
      </c>
      <c r="F159" s="4" t="s">
        <v>68</v>
      </c>
      <c r="G159" s="4" t="s">
        <v>69</v>
      </c>
      <c r="H159" s="4" t="s">
        <v>70</v>
      </c>
      <c r="I159" s="4" t="s">
        <v>71</v>
      </c>
      <c r="J159" s="4" t="s">
        <v>72</v>
      </c>
      <c r="K159" s="4" t="s">
        <v>73</v>
      </c>
      <c r="L159" s="4" t="s">
        <v>74</v>
      </c>
    </row>
    <row r="160" spans="1:12">
      <c r="A160" s="5" t="s">
        <v>142</v>
      </c>
      <c r="B160" s="5" t="s">
        <v>143</v>
      </c>
      <c r="C160" s="6">
        <v>849</v>
      </c>
      <c r="D160" s="6">
        <v>472</v>
      </c>
      <c r="E160" s="6">
        <v>311</v>
      </c>
      <c r="F160" s="6">
        <v>185</v>
      </c>
      <c r="G160" s="9">
        <v>2841.739999999998</v>
      </c>
      <c r="H160" s="9">
        <f>F160/C139</f>
        <v>0.1323319027181688</v>
      </c>
      <c r="I160" s="9">
        <f>C160/C139</f>
        <v>0.60729613733905574</v>
      </c>
      <c r="J160" s="9">
        <f>D160/C139</f>
        <v>0.33762517882689558</v>
      </c>
      <c r="K160" s="9">
        <f t="shared" ref="K160:K177" si="13">E160/D160</f>
        <v>0.65889830508474578</v>
      </c>
      <c r="L160" s="9">
        <f t="shared" ref="L160:L177" si="14">F160/E160</f>
        <v>0.59485530546623799</v>
      </c>
    </row>
    <row r="161" spans="1:12">
      <c r="A161" s="5" t="s">
        <v>144</v>
      </c>
      <c r="B161" s="5" t="s">
        <v>143</v>
      </c>
      <c r="C161" s="6">
        <v>2196</v>
      </c>
      <c r="D161" s="6">
        <v>1222</v>
      </c>
      <c r="E161" s="6">
        <v>827</v>
      </c>
      <c r="F161" s="6">
        <v>528</v>
      </c>
      <c r="G161" s="9">
        <v>4364.24</v>
      </c>
      <c r="H161" s="9">
        <f t="shared" ref="H161:H177" si="15">F161/C140</f>
        <v>0.16058394160583941</v>
      </c>
      <c r="I161" s="9">
        <f t="shared" ref="I161:I177" si="16">C161/C140</f>
        <v>0.66788321167883213</v>
      </c>
      <c r="J161" s="9">
        <f t="shared" ref="J161:J177" si="17">D161/C140</f>
        <v>0.37165450121654503</v>
      </c>
      <c r="K161" s="9">
        <f t="shared" ref="K161:K177" si="18">E161/D161</f>
        <v>0.676759410801964</v>
      </c>
      <c r="L161" s="9">
        <f t="shared" ref="L161:L177" si="19">F161/E161</f>
        <v>0.63845223700120923</v>
      </c>
    </row>
    <row r="162" spans="1:12">
      <c r="A162" s="5" t="s">
        <v>145</v>
      </c>
      <c r="B162" s="5" t="s">
        <v>143</v>
      </c>
      <c r="C162" s="6">
        <v>1180</v>
      </c>
      <c r="D162" s="6">
        <v>597</v>
      </c>
      <c r="E162" s="6">
        <v>380</v>
      </c>
      <c r="F162" s="6">
        <v>231</v>
      </c>
      <c r="G162" s="9">
        <v>4570.2</v>
      </c>
      <c r="H162" s="9">
        <f t="shared" si="15"/>
        <v>0.11755725190839694</v>
      </c>
      <c r="I162" s="9">
        <f t="shared" si="16"/>
        <v>0.60050890585241734</v>
      </c>
      <c r="J162" s="9">
        <f t="shared" si="17"/>
        <v>0.30381679389312977</v>
      </c>
      <c r="K162" s="9">
        <f t="shared" si="18"/>
        <v>0.6365159128978225</v>
      </c>
      <c r="L162" s="9">
        <f t="shared" si="19"/>
        <v>0.60789473684210527</v>
      </c>
    </row>
    <row r="163" spans="1:12">
      <c r="A163" s="5" t="s">
        <v>146</v>
      </c>
      <c r="B163" s="5" t="s">
        <v>143</v>
      </c>
      <c r="C163" s="6">
        <v>669</v>
      </c>
      <c r="D163" s="6">
        <v>336</v>
      </c>
      <c r="E163" s="6">
        <v>205</v>
      </c>
      <c r="F163" s="6">
        <v>129</v>
      </c>
      <c r="G163" s="9">
        <v>4717.8599999999997</v>
      </c>
      <c r="H163" s="9">
        <f t="shared" si="15"/>
        <v>0.11305872042068361</v>
      </c>
      <c r="I163" s="9">
        <f t="shared" si="16"/>
        <v>0.58632778264680108</v>
      </c>
      <c r="J163" s="9">
        <f t="shared" si="17"/>
        <v>0.29447852760736198</v>
      </c>
      <c r="K163" s="9">
        <f t="shared" si="18"/>
        <v>0.61011904761904767</v>
      </c>
      <c r="L163" s="9">
        <f t="shared" si="19"/>
        <v>0.62926829268292683</v>
      </c>
    </row>
    <row r="164" spans="1:12">
      <c r="A164" s="5" t="s">
        <v>147</v>
      </c>
      <c r="B164" s="5" t="s">
        <v>143</v>
      </c>
      <c r="C164" s="6">
        <v>314</v>
      </c>
      <c r="D164" s="6">
        <v>143</v>
      </c>
      <c r="E164" s="6">
        <v>87</v>
      </c>
      <c r="F164" s="6">
        <v>53</v>
      </c>
      <c r="G164" s="9">
        <v>3709.309999999999</v>
      </c>
      <c r="H164" s="9">
        <f t="shared" si="15"/>
        <v>0.10750507099391481</v>
      </c>
      <c r="I164" s="9">
        <f t="shared" si="16"/>
        <v>0.63691683569979718</v>
      </c>
      <c r="J164" s="9">
        <f t="shared" si="17"/>
        <v>0.29006085192697767</v>
      </c>
      <c r="K164" s="9">
        <f t="shared" si="18"/>
        <v>0.60839160839160844</v>
      </c>
      <c r="L164" s="9">
        <f t="shared" si="19"/>
        <v>0.60919540229885061</v>
      </c>
    </row>
    <row r="165" spans="1:12">
      <c r="A165" s="5" t="s">
        <v>148</v>
      </c>
      <c r="B165" s="5" t="s">
        <v>143</v>
      </c>
      <c r="C165" s="6">
        <v>414</v>
      </c>
      <c r="D165" s="6">
        <v>198</v>
      </c>
      <c r="E165" s="6">
        <v>113</v>
      </c>
      <c r="F165" s="6">
        <v>70</v>
      </c>
      <c r="G165" s="9">
        <v>4068.280000000002</v>
      </c>
      <c r="H165" s="9">
        <f t="shared" si="15"/>
        <v>0.12727272727272726</v>
      </c>
      <c r="I165" s="9">
        <f t="shared" si="16"/>
        <v>0.75272727272727269</v>
      </c>
      <c r="J165" s="9">
        <f t="shared" si="17"/>
        <v>0.36</v>
      </c>
      <c r="K165" s="9">
        <f t="shared" si="18"/>
        <v>0.57070707070707072</v>
      </c>
      <c r="L165" s="9">
        <f t="shared" si="19"/>
        <v>0.61946902654867253</v>
      </c>
    </row>
    <row r="166" spans="1:12">
      <c r="A166" s="5" t="s">
        <v>142</v>
      </c>
      <c r="B166" s="5" t="s">
        <v>149</v>
      </c>
      <c r="C166" s="6">
        <v>5536</v>
      </c>
      <c r="D166" s="6">
        <v>3596</v>
      </c>
      <c r="E166" s="6">
        <v>2540</v>
      </c>
      <c r="F166" s="6">
        <v>1419</v>
      </c>
      <c r="G166" s="9">
        <v>3939.239999999998</v>
      </c>
      <c r="H166" s="9">
        <f t="shared" si="15"/>
        <v>0.18368932038834951</v>
      </c>
      <c r="I166" s="9">
        <f t="shared" si="16"/>
        <v>0.71663430420711971</v>
      </c>
      <c r="J166" s="9">
        <f t="shared" si="17"/>
        <v>0.46550161812297736</v>
      </c>
      <c r="K166" s="9">
        <f t="shared" si="18"/>
        <v>0.70634037819799778</v>
      </c>
      <c r="L166" s="9">
        <f t="shared" si="19"/>
        <v>0.5586614173228347</v>
      </c>
    </row>
    <row r="167" spans="1:12">
      <c r="A167" s="5" t="s">
        <v>144</v>
      </c>
      <c r="B167" s="5" t="s">
        <v>149</v>
      </c>
      <c r="C167" s="6">
        <v>12280</v>
      </c>
      <c r="D167" s="6">
        <v>8001</v>
      </c>
      <c r="E167" s="6">
        <v>5869</v>
      </c>
      <c r="F167" s="6">
        <v>3389</v>
      </c>
      <c r="G167" s="9">
        <v>5314.7200000000012</v>
      </c>
      <c r="H167" s="9">
        <f t="shared" si="15"/>
        <v>0.20033102796004021</v>
      </c>
      <c r="I167" s="9">
        <f t="shared" si="16"/>
        <v>0.72589702665957323</v>
      </c>
      <c r="J167" s="9">
        <f t="shared" si="17"/>
        <v>0.47295619790743038</v>
      </c>
      <c r="K167" s="9">
        <f t="shared" si="18"/>
        <v>0.73353330833645791</v>
      </c>
      <c r="L167" s="9">
        <f t="shared" si="19"/>
        <v>0.57744079059464981</v>
      </c>
    </row>
    <row r="168" spans="1:12">
      <c r="A168" s="5" t="s">
        <v>145</v>
      </c>
      <c r="B168" s="5" t="s">
        <v>149</v>
      </c>
      <c r="C168" s="6">
        <v>5105</v>
      </c>
      <c r="D168" s="6">
        <v>3213</v>
      </c>
      <c r="E168" s="6">
        <v>2282</v>
      </c>
      <c r="F168" s="6">
        <v>1274</v>
      </c>
      <c r="G168" s="9">
        <v>5096.28</v>
      </c>
      <c r="H168" s="9">
        <f t="shared" si="15"/>
        <v>0.17768479776847979</v>
      </c>
      <c r="I168" s="9">
        <f t="shared" si="16"/>
        <v>0.71199442119944212</v>
      </c>
      <c r="J168" s="9">
        <f t="shared" si="17"/>
        <v>0.44811715481171549</v>
      </c>
      <c r="K168" s="9">
        <f t="shared" si="18"/>
        <v>0.710239651416122</v>
      </c>
      <c r="L168" s="9">
        <f t="shared" si="19"/>
        <v>0.55828220858895705</v>
      </c>
    </row>
    <row r="169" spans="1:12">
      <c r="A169" s="5" t="s">
        <v>146</v>
      </c>
      <c r="B169" s="5" t="s">
        <v>149</v>
      </c>
      <c r="C169" s="6">
        <v>1753</v>
      </c>
      <c r="D169" s="6">
        <v>1006</v>
      </c>
      <c r="E169" s="6">
        <v>695</v>
      </c>
      <c r="F169" s="6">
        <v>432</v>
      </c>
      <c r="G169" s="9">
        <v>4512.9399999999996</v>
      </c>
      <c r="H169" s="9">
        <f t="shared" si="15"/>
        <v>0.16450875856816452</v>
      </c>
      <c r="I169" s="9">
        <f t="shared" si="16"/>
        <v>0.66755521706016752</v>
      </c>
      <c r="J169" s="9">
        <f t="shared" si="17"/>
        <v>0.38309215536938307</v>
      </c>
      <c r="K169" s="9">
        <f t="shared" si="18"/>
        <v>0.69085487077534791</v>
      </c>
      <c r="L169" s="9">
        <f t="shared" si="19"/>
        <v>0.62158273381294959</v>
      </c>
    </row>
    <row r="170" spans="1:12">
      <c r="A170" s="5" t="s">
        <v>147</v>
      </c>
      <c r="B170" s="5" t="s">
        <v>149</v>
      </c>
      <c r="C170" s="6">
        <v>738</v>
      </c>
      <c r="D170" s="6">
        <v>395</v>
      </c>
      <c r="E170" s="6">
        <v>255</v>
      </c>
      <c r="F170" s="6">
        <v>172</v>
      </c>
      <c r="G170" s="9">
        <v>4396.3899999999958</v>
      </c>
      <c r="H170" s="9">
        <f t="shared" si="15"/>
        <v>0.15736505032021958</v>
      </c>
      <c r="I170" s="9">
        <f t="shared" si="16"/>
        <v>0.67520585544373279</v>
      </c>
      <c r="J170" s="9">
        <f t="shared" si="17"/>
        <v>0.36139066788655078</v>
      </c>
      <c r="K170" s="9">
        <f t="shared" si="18"/>
        <v>0.64556962025316456</v>
      </c>
      <c r="L170" s="9">
        <f t="shared" si="19"/>
        <v>0.67450980392156867</v>
      </c>
    </row>
    <row r="171" spans="1:12">
      <c r="A171" s="5" t="s">
        <v>148</v>
      </c>
      <c r="B171" s="5" t="s">
        <v>149</v>
      </c>
      <c r="C171" s="6">
        <v>961</v>
      </c>
      <c r="D171" s="6">
        <v>543</v>
      </c>
      <c r="E171" s="6">
        <v>374</v>
      </c>
      <c r="F171" s="6">
        <v>228</v>
      </c>
      <c r="G171" s="9">
        <v>4688.9100000000008</v>
      </c>
      <c r="H171" s="9">
        <f t="shared" si="15"/>
        <v>0.17647058823529413</v>
      </c>
      <c r="I171" s="9">
        <f t="shared" si="16"/>
        <v>0.74380804953560375</v>
      </c>
      <c r="J171" s="9">
        <f t="shared" si="17"/>
        <v>0.42027863777089786</v>
      </c>
      <c r="K171" s="9">
        <f t="shared" si="18"/>
        <v>0.68876611418047884</v>
      </c>
      <c r="L171" s="9">
        <f t="shared" si="19"/>
        <v>0.60962566844919786</v>
      </c>
    </row>
    <row r="172" spans="1:12">
      <c r="A172" s="5" t="s">
        <v>142</v>
      </c>
      <c r="B172" s="5" t="s">
        <v>150</v>
      </c>
      <c r="C172" s="6">
        <v>61</v>
      </c>
      <c r="D172" s="6">
        <v>38</v>
      </c>
      <c r="E172" s="6">
        <v>27</v>
      </c>
      <c r="F172" s="6">
        <v>14</v>
      </c>
      <c r="G172" s="9">
        <v>1920.34</v>
      </c>
      <c r="H172" s="9">
        <f t="shared" si="15"/>
        <v>0.13333333333333333</v>
      </c>
      <c r="I172" s="9">
        <f t="shared" si="16"/>
        <v>0.580952380952381</v>
      </c>
      <c r="J172" s="9">
        <f t="shared" si="17"/>
        <v>0.3619047619047619</v>
      </c>
      <c r="K172" s="9">
        <f t="shared" si="18"/>
        <v>0.71052631578947367</v>
      </c>
      <c r="L172" s="9">
        <f t="shared" si="19"/>
        <v>0.51851851851851849</v>
      </c>
    </row>
    <row r="173" spans="1:12">
      <c r="A173" s="5" t="s">
        <v>144</v>
      </c>
      <c r="B173" s="5" t="s">
        <v>150</v>
      </c>
      <c r="C173" s="6">
        <v>272</v>
      </c>
      <c r="D173" s="6">
        <v>173</v>
      </c>
      <c r="E173" s="6">
        <v>137</v>
      </c>
      <c r="F173" s="6">
        <v>85</v>
      </c>
      <c r="G173" s="9">
        <v>3832.8199999999988</v>
      </c>
      <c r="H173" s="9">
        <f t="shared" si="15"/>
        <v>0.22193211488250653</v>
      </c>
      <c r="I173" s="9">
        <f t="shared" si="16"/>
        <v>0.71018276762402088</v>
      </c>
      <c r="J173" s="9">
        <f t="shared" si="17"/>
        <v>0.4516971279373368</v>
      </c>
      <c r="K173" s="9">
        <f t="shared" si="18"/>
        <v>0.79190751445086704</v>
      </c>
      <c r="L173" s="9">
        <f t="shared" si="19"/>
        <v>0.62043795620437958</v>
      </c>
    </row>
    <row r="174" spans="1:12">
      <c r="A174" s="5" t="s">
        <v>145</v>
      </c>
      <c r="B174" s="5" t="s">
        <v>150</v>
      </c>
      <c r="C174" s="6">
        <v>211</v>
      </c>
      <c r="D174" s="6">
        <v>117</v>
      </c>
      <c r="E174" s="6">
        <v>95</v>
      </c>
      <c r="F174" s="6">
        <v>62</v>
      </c>
      <c r="G174" s="9">
        <v>3575.6800000000021</v>
      </c>
      <c r="H174" s="9">
        <f t="shared" si="15"/>
        <v>0.18128654970760233</v>
      </c>
      <c r="I174" s="9">
        <f t="shared" si="16"/>
        <v>0.61695906432748537</v>
      </c>
      <c r="J174" s="9">
        <f t="shared" si="17"/>
        <v>0.34210526315789475</v>
      </c>
      <c r="K174" s="9">
        <f t="shared" si="18"/>
        <v>0.81196581196581197</v>
      </c>
      <c r="L174" s="9">
        <f t="shared" si="19"/>
        <v>0.65263157894736845</v>
      </c>
    </row>
    <row r="175" spans="1:12">
      <c r="A175" s="5" t="s">
        <v>146</v>
      </c>
      <c r="B175" s="5" t="s">
        <v>150</v>
      </c>
      <c r="C175" s="6">
        <v>108</v>
      </c>
      <c r="D175" s="6">
        <v>57</v>
      </c>
      <c r="E175" s="6">
        <v>31</v>
      </c>
      <c r="F175" s="6">
        <v>18</v>
      </c>
      <c r="G175" s="9">
        <v>2337.329999999999</v>
      </c>
      <c r="H175" s="9">
        <f t="shared" si="15"/>
        <v>9.7826086956521743E-2</v>
      </c>
      <c r="I175" s="9">
        <f t="shared" si="16"/>
        <v>0.58695652173913049</v>
      </c>
      <c r="J175" s="9">
        <f t="shared" si="17"/>
        <v>0.30978260869565216</v>
      </c>
      <c r="K175" s="9">
        <f t="shared" si="18"/>
        <v>0.54385964912280704</v>
      </c>
      <c r="L175" s="9">
        <f t="shared" si="19"/>
        <v>0.58064516129032262</v>
      </c>
    </row>
    <row r="176" spans="1:12">
      <c r="A176" s="5" t="s">
        <v>147</v>
      </c>
      <c r="B176" s="5" t="s">
        <v>150</v>
      </c>
      <c r="C176" s="6">
        <v>41</v>
      </c>
      <c r="D176" s="6">
        <v>16</v>
      </c>
      <c r="E176" s="6">
        <v>10</v>
      </c>
      <c r="F176" s="6">
        <v>4</v>
      </c>
      <c r="G176" s="9">
        <v>1929.33</v>
      </c>
      <c r="H176" s="9">
        <f t="shared" si="15"/>
        <v>4.9382716049382713E-2</v>
      </c>
      <c r="I176" s="9">
        <f t="shared" si="16"/>
        <v>0.50617283950617287</v>
      </c>
      <c r="J176" s="9">
        <f t="shared" si="17"/>
        <v>0.19753086419753085</v>
      </c>
      <c r="K176" s="9">
        <f t="shared" si="18"/>
        <v>0.625</v>
      </c>
      <c r="L176" s="9">
        <f t="shared" si="19"/>
        <v>0.4</v>
      </c>
    </row>
    <row r="177" spans="1:12">
      <c r="A177" s="5" t="s">
        <v>148</v>
      </c>
      <c r="B177" s="5" t="s">
        <v>150</v>
      </c>
      <c r="C177" s="6">
        <v>58</v>
      </c>
      <c r="D177" s="6">
        <v>30</v>
      </c>
      <c r="E177" s="6">
        <v>23</v>
      </c>
      <c r="F177" s="6">
        <v>17</v>
      </c>
      <c r="G177" s="9">
        <v>2056.9100000000012</v>
      </c>
      <c r="H177" s="9">
        <f t="shared" si="15"/>
        <v>0.18681318681318682</v>
      </c>
      <c r="I177" s="9">
        <f t="shared" si="16"/>
        <v>0.63736263736263732</v>
      </c>
      <c r="J177" s="9">
        <f t="shared" si="17"/>
        <v>0.32967032967032966</v>
      </c>
      <c r="K177" s="9">
        <f t="shared" si="18"/>
        <v>0.76666666666666672</v>
      </c>
      <c r="L177" s="9">
        <f t="shared" si="19"/>
        <v>0.73913043478260865</v>
      </c>
    </row>
    <row r="178" spans="1:12" ht="18">
      <c r="A178" s="4" t="s">
        <v>49</v>
      </c>
      <c r="B178" s="4"/>
      <c r="C178" s="10">
        <f>SUM(C160:C177)</f>
        <v>32746</v>
      </c>
      <c r="D178" s="10">
        <f>SUM(D160:D177)</f>
        <v>20153</v>
      </c>
      <c r="E178" s="10">
        <f>SUM(E160:E177)</f>
        <v>14261</v>
      </c>
      <c r="F178" s="10">
        <f>SUM(F160:F177)</f>
        <v>8310</v>
      </c>
      <c r="G178" s="17"/>
      <c r="H178" s="17">
        <f>F178/C157</f>
        <v>0.17739731876014003</v>
      </c>
      <c r="I178" s="17">
        <f>C178/C157</f>
        <v>0.69904363419007776</v>
      </c>
      <c r="J178" s="17">
        <f>D178/C157</f>
        <v>0.43021518230723249</v>
      </c>
      <c r="K178" s="17">
        <f>E178/D157</f>
        <v>0.63910549430850583</v>
      </c>
      <c r="L178" s="17">
        <f>F178/E157</f>
        <v>0.50501367365542393</v>
      </c>
    </row>
    <row r="179" spans="1:12" ht="59" customHeight="1"/>
    <row r="181" spans="1:12" ht="41" customHeight="1">
      <c r="A181" s="3" t="s">
        <v>157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36" customHeight="1"/>
    <row r="183" spans="1:12" ht="33" customHeight="1">
      <c r="A183" s="4" t="s">
        <v>140</v>
      </c>
      <c r="B183" s="4" t="s">
        <v>141</v>
      </c>
      <c r="C183" s="4" t="s">
        <v>80</v>
      </c>
      <c r="D183" s="4" t="s">
        <v>81</v>
      </c>
      <c r="E183" s="4" t="s">
        <v>82</v>
      </c>
      <c r="F183" s="4" t="s">
        <v>83</v>
      </c>
      <c r="G183" s="4" t="s">
        <v>84</v>
      </c>
      <c r="H183" s="4" t="s">
        <v>85</v>
      </c>
      <c r="I183" s="4" t="s">
        <v>86</v>
      </c>
      <c r="J183" s="4" t="s">
        <v>87</v>
      </c>
      <c r="K183" s="4" t="s">
        <v>88</v>
      </c>
      <c r="L183" s="4" t="s">
        <v>15</v>
      </c>
    </row>
    <row r="184" spans="1:12">
      <c r="A184" s="5" t="s">
        <v>142</v>
      </c>
      <c r="B184" s="5" t="s">
        <v>143</v>
      </c>
      <c r="C184" s="6">
        <v>292</v>
      </c>
      <c r="D184" s="8">
        <f t="shared" ref="D184:D202" si="20">L184/C184</f>
        <v>9.3332876712328758</v>
      </c>
      <c r="E184" s="6">
        <v>1624</v>
      </c>
      <c r="F184" s="6">
        <v>0</v>
      </c>
      <c r="G184" s="6">
        <v>0</v>
      </c>
      <c r="H184" s="6">
        <v>0</v>
      </c>
      <c r="I184" s="6">
        <v>1630</v>
      </c>
      <c r="J184" s="6">
        <v>7</v>
      </c>
      <c r="K184" s="6">
        <v>0</v>
      </c>
      <c r="L184" s="8">
        <f>104.82*F3</f>
        <v>2725.3199999999997</v>
      </c>
    </row>
    <row r="185" spans="1:12">
      <c r="A185" s="5" t="s">
        <v>142</v>
      </c>
      <c r="B185" s="5" t="s">
        <v>149</v>
      </c>
      <c r="C185" s="6">
        <v>1445</v>
      </c>
      <c r="D185" s="8">
        <f t="shared" si="20"/>
        <v>6.7733148788927151</v>
      </c>
      <c r="E185" s="6">
        <v>8260</v>
      </c>
      <c r="F185" s="6">
        <v>0</v>
      </c>
      <c r="G185" s="6">
        <v>0</v>
      </c>
      <c r="H185" s="6">
        <v>0</v>
      </c>
      <c r="I185" s="6">
        <v>8265</v>
      </c>
      <c r="J185" s="6">
        <v>9</v>
      </c>
      <c r="K185" s="6">
        <v>0</v>
      </c>
      <c r="L185" s="8">
        <f>376.439999999999*F3</f>
        <v>9787.4399999999732</v>
      </c>
    </row>
    <row r="186" spans="1:12">
      <c r="A186" s="5" t="s">
        <v>142</v>
      </c>
      <c r="B186" s="5" t="s">
        <v>150</v>
      </c>
      <c r="C186" s="6">
        <v>15</v>
      </c>
      <c r="D186" s="8">
        <f t="shared" si="20"/>
        <v>10.226666666666631</v>
      </c>
      <c r="E186" s="6">
        <v>109</v>
      </c>
      <c r="F186" s="6">
        <v>0</v>
      </c>
      <c r="G186" s="6">
        <v>0</v>
      </c>
      <c r="H186" s="6">
        <v>0</v>
      </c>
      <c r="I186" s="6">
        <v>109</v>
      </c>
      <c r="J186" s="6">
        <v>0</v>
      </c>
      <c r="K186" s="6">
        <v>0</v>
      </c>
      <c r="L186" s="8">
        <f>5.89999999999998*F3</f>
        <v>153.39999999999947</v>
      </c>
    </row>
    <row r="187" spans="1:12">
      <c r="A187" s="5" t="s">
        <v>144</v>
      </c>
      <c r="B187" s="5" t="s">
        <v>143</v>
      </c>
      <c r="C187" s="6">
        <v>1254</v>
      </c>
      <c r="D187" s="8">
        <f t="shared" si="20"/>
        <v>10.375534290271112</v>
      </c>
      <c r="E187" s="6">
        <v>4342</v>
      </c>
      <c r="F187" s="6">
        <v>0</v>
      </c>
      <c r="G187" s="6">
        <v>0</v>
      </c>
      <c r="H187" s="6">
        <v>0</v>
      </c>
      <c r="I187" s="6">
        <v>4353</v>
      </c>
      <c r="J187" s="6">
        <v>18</v>
      </c>
      <c r="K187" s="6">
        <v>0</v>
      </c>
      <c r="L187" s="8">
        <f>500.419999999999*F3</f>
        <v>13010.919999999975</v>
      </c>
    </row>
    <row r="188" spans="1:12">
      <c r="A188" s="5" t="s">
        <v>144</v>
      </c>
      <c r="B188" s="5" t="s">
        <v>149</v>
      </c>
      <c r="C188" s="6">
        <v>3776</v>
      </c>
      <c r="D188" s="8">
        <f t="shared" si="20"/>
        <v>9.4064088983050151</v>
      </c>
      <c r="E188" s="6">
        <v>19198</v>
      </c>
      <c r="F188" s="6">
        <v>0</v>
      </c>
      <c r="G188" s="6">
        <v>0</v>
      </c>
      <c r="H188" s="6">
        <v>0</v>
      </c>
      <c r="I188" s="6">
        <v>19223</v>
      </c>
      <c r="J188" s="6">
        <v>55</v>
      </c>
      <c r="K188" s="6">
        <v>0</v>
      </c>
      <c r="L188" s="8">
        <f>1366.09999999999*F3</f>
        <v>35518.599999999737</v>
      </c>
    </row>
    <row r="189" spans="1:12">
      <c r="A189" s="5" t="s">
        <v>144</v>
      </c>
      <c r="B189" s="5" t="s">
        <v>150</v>
      </c>
      <c r="C189" s="6">
        <v>88</v>
      </c>
      <c r="D189" s="8">
        <f t="shared" si="20"/>
        <v>11.785681818181788</v>
      </c>
      <c r="E189" s="6">
        <v>436</v>
      </c>
      <c r="F189" s="6">
        <v>0</v>
      </c>
      <c r="G189" s="6">
        <v>0</v>
      </c>
      <c r="H189" s="6">
        <v>0</v>
      </c>
      <c r="I189" s="6">
        <v>438</v>
      </c>
      <c r="J189" s="6">
        <v>3</v>
      </c>
      <c r="K189" s="6">
        <v>0</v>
      </c>
      <c r="L189" s="8">
        <f>39.8899999999999*F3</f>
        <v>1037.1399999999974</v>
      </c>
    </row>
    <row r="190" spans="1:12">
      <c r="A190" s="5" t="s">
        <v>145</v>
      </c>
      <c r="B190" s="5" t="s">
        <v>143</v>
      </c>
      <c r="C190" s="6">
        <v>607</v>
      </c>
      <c r="D190" s="8">
        <f t="shared" si="20"/>
        <v>13.568830313014825</v>
      </c>
      <c r="E190" s="6">
        <v>2466</v>
      </c>
      <c r="F190" s="6">
        <v>0</v>
      </c>
      <c r="G190" s="6">
        <v>0</v>
      </c>
      <c r="H190" s="6">
        <v>0</v>
      </c>
      <c r="I190" s="6">
        <v>2472</v>
      </c>
      <c r="J190" s="6">
        <v>11</v>
      </c>
      <c r="K190" s="6">
        <v>0</v>
      </c>
      <c r="L190" s="8">
        <f>316.78*F3</f>
        <v>8236.2799999999988</v>
      </c>
    </row>
    <row r="191" spans="1:12">
      <c r="A191" s="5" t="s">
        <v>145</v>
      </c>
      <c r="B191" s="5" t="s">
        <v>149</v>
      </c>
      <c r="C191" s="6">
        <v>1658</v>
      </c>
      <c r="D191" s="8">
        <f t="shared" si="20"/>
        <v>11.982738238841961</v>
      </c>
      <c r="E191" s="6">
        <v>8326</v>
      </c>
      <c r="F191" s="6">
        <v>0</v>
      </c>
      <c r="G191" s="6">
        <v>0</v>
      </c>
      <c r="H191" s="6">
        <v>0</v>
      </c>
      <c r="I191" s="6">
        <v>8338</v>
      </c>
      <c r="J191" s="6">
        <v>26</v>
      </c>
      <c r="K191" s="6">
        <v>0</v>
      </c>
      <c r="L191" s="8">
        <f>764.129999999999*F3</f>
        <v>19867.379999999972</v>
      </c>
    </row>
    <row r="192" spans="1:12">
      <c r="A192" s="5" t="s">
        <v>145</v>
      </c>
      <c r="B192" s="5" t="s">
        <v>150</v>
      </c>
      <c r="C192" s="6">
        <v>83</v>
      </c>
      <c r="D192" s="8">
        <f t="shared" si="20"/>
        <v>10.826024096385543</v>
      </c>
      <c r="E192" s="6">
        <v>403</v>
      </c>
      <c r="F192" s="6">
        <v>0</v>
      </c>
      <c r="G192" s="6">
        <v>0</v>
      </c>
      <c r="H192" s="6">
        <v>0</v>
      </c>
      <c r="I192" s="6">
        <v>404</v>
      </c>
      <c r="J192" s="6">
        <v>1</v>
      </c>
      <c r="K192" s="6">
        <v>0</v>
      </c>
      <c r="L192" s="8">
        <f>34.56*F3</f>
        <v>898.56000000000006</v>
      </c>
    </row>
    <row r="193" spans="1:12">
      <c r="A193" s="5" t="s">
        <v>146</v>
      </c>
      <c r="B193" s="5" t="s">
        <v>143</v>
      </c>
      <c r="C193" s="6">
        <v>201</v>
      </c>
      <c r="D193" s="8">
        <f t="shared" si="20"/>
        <v>15.944079601990051</v>
      </c>
      <c r="E193" s="6">
        <v>1285</v>
      </c>
      <c r="F193" s="6">
        <v>0</v>
      </c>
      <c r="G193" s="6">
        <v>0</v>
      </c>
      <c r="H193" s="6">
        <v>0</v>
      </c>
      <c r="I193" s="6">
        <v>1287</v>
      </c>
      <c r="J193" s="6">
        <v>4</v>
      </c>
      <c r="K193" s="6">
        <v>0</v>
      </c>
      <c r="L193" s="8">
        <f>123.26*F3</f>
        <v>3204.76</v>
      </c>
    </row>
    <row r="194" spans="1:12">
      <c r="A194" s="5" t="s">
        <v>146</v>
      </c>
      <c r="B194" s="5" t="s">
        <v>149</v>
      </c>
      <c r="C194" s="6">
        <v>451</v>
      </c>
      <c r="D194" s="8">
        <f t="shared" si="20"/>
        <v>15.074811529933422</v>
      </c>
      <c r="E194" s="6">
        <v>2904</v>
      </c>
      <c r="F194" s="6">
        <v>0</v>
      </c>
      <c r="G194" s="6">
        <v>0</v>
      </c>
      <c r="H194" s="6">
        <v>0</v>
      </c>
      <c r="I194" s="6">
        <v>2907</v>
      </c>
      <c r="J194" s="6">
        <v>8</v>
      </c>
      <c r="K194" s="6">
        <v>0</v>
      </c>
      <c r="L194" s="8">
        <f>261.489999999999*F3</f>
        <v>6798.7399999999734</v>
      </c>
    </row>
    <row r="195" spans="1:12">
      <c r="A195" s="5" t="s">
        <v>146</v>
      </c>
      <c r="B195" s="5" t="s">
        <v>150</v>
      </c>
      <c r="C195" s="6">
        <v>20</v>
      </c>
      <c r="D195" s="8">
        <f t="shared" si="20"/>
        <v>20.513999999999871</v>
      </c>
      <c r="E195" s="6">
        <v>199</v>
      </c>
      <c r="F195" s="6">
        <v>0</v>
      </c>
      <c r="G195" s="6">
        <v>0</v>
      </c>
      <c r="H195" s="6">
        <v>0</v>
      </c>
      <c r="I195" s="6">
        <v>199</v>
      </c>
      <c r="J195" s="6">
        <v>0</v>
      </c>
      <c r="K195" s="6">
        <v>0</v>
      </c>
      <c r="L195" s="8">
        <f>15.7799999999999*F3</f>
        <v>410.27999999999741</v>
      </c>
    </row>
    <row r="196" spans="1:12">
      <c r="A196" s="5" t="s">
        <v>147</v>
      </c>
      <c r="B196" s="5" t="s">
        <v>143</v>
      </c>
      <c r="C196" s="6">
        <v>86</v>
      </c>
      <c r="D196" s="8">
        <f t="shared" si="20"/>
        <v>14.553953488372063</v>
      </c>
      <c r="E196" s="6">
        <v>573</v>
      </c>
      <c r="F196" s="6">
        <v>0</v>
      </c>
      <c r="G196" s="6">
        <v>0</v>
      </c>
      <c r="H196" s="6">
        <v>0</v>
      </c>
      <c r="I196" s="6">
        <v>573</v>
      </c>
      <c r="J196" s="6">
        <v>0</v>
      </c>
      <c r="K196" s="6">
        <v>0</v>
      </c>
      <c r="L196" s="8">
        <f>48.1399999999999*F3</f>
        <v>1251.6399999999974</v>
      </c>
    </row>
    <row r="197" spans="1:12">
      <c r="A197" s="5" t="s">
        <v>147</v>
      </c>
      <c r="B197" s="5" t="s">
        <v>149</v>
      </c>
      <c r="C197" s="6">
        <v>123</v>
      </c>
      <c r="D197" s="8">
        <f t="shared" si="20"/>
        <v>19.024390243902438</v>
      </c>
      <c r="E197" s="6">
        <v>1164</v>
      </c>
      <c r="F197" s="6">
        <v>0</v>
      </c>
      <c r="G197" s="6">
        <v>0</v>
      </c>
      <c r="H197" s="6">
        <v>0</v>
      </c>
      <c r="I197" s="6">
        <v>1164</v>
      </c>
      <c r="J197" s="6">
        <v>0</v>
      </c>
      <c r="K197" s="6">
        <v>0</v>
      </c>
      <c r="L197" s="8">
        <f>90*F3</f>
        <v>2340</v>
      </c>
    </row>
    <row r="198" spans="1:12">
      <c r="A198" s="5" t="s">
        <v>147</v>
      </c>
      <c r="B198" s="5" t="s">
        <v>150</v>
      </c>
      <c r="C198" s="6">
        <v>9</v>
      </c>
      <c r="D198" s="8">
        <f t="shared" si="20"/>
        <v>19.962222222222195</v>
      </c>
      <c r="E198" s="6">
        <v>87</v>
      </c>
      <c r="F198" s="6">
        <v>0</v>
      </c>
      <c r="G198" s="6">
        <v>0</v>
      </c>
      <c r="H198" s="6">
        <v>0</v>
      </c>
      <c r="I198" s="6">
        <v>87</v>
      </c>
      <c r="J198" s="6">
        <v>0</v>
      </c>
      <c r="K198" s="6">
        <v>0</v>
      </c>
      <c r="L198" s="8">
        <f>6.90999999999999*F3</f>
        <v>179.65999999999974</v>
      </c>
    </row>
    <row r="199" spans="1:12">
      <c r="A199" s="5" t="s">
        <v>148</v>
      </c>
      <c r="B199" s="5" t="s">
        <v>143</v>
      </c>
      <c r="C199" s="6">
        <v>84</v>
      </c>
      <c r="D199" s="8">
        <f t="shared" si="20"/>
        <v>14.309285714285682</v>
      </c>
      <c r="E199" s="6">
        <v>608</v>
      </c>
      <c r="F199" s="6">
        <v>0</v>
      </c>
      <c r="G199" s="6">
        <v>0</v>
      </c>
      <c r="H199" s="6">
        <v>0</v>
      </c>
      <c r="I199" s="6">
        <v>609</v>
      </c>
      <c r="J199" s="6">
        <v>1</v>
      </c>
      <c r="K199" s="6">
        <v>0</v>
      </c>
      <c r="L199" s="8">
        <f>46.2299999999999*F3</f>
        <v>1201.9799999999973</v>
      </c>
    </row>
    <row r="200" spans="1:12">
      <c r="A200" s="5" t="s">
        <v>148</v>
      </c>
      <c r="B200" s="5" t="s">
        <v>149</v>
      </c>
      <c r="C200" s="6">
        <v>158</v>
      </c>
      <c r="D200" s="8">
        <f t="shared" si="20"/>
        <v>12.101518987341773</v>
      </c>
      <c r="E200" s="6">
        <v>1363</v>
      </c>
      <c r="F200" s="6">
        <v>0</v>
      </c>
      <c r="G200" s="6">
        <v>0</v>
      </c>
      <c r="H200" s="6">
        <v>0</v>
      </c>
      <c r="I200" s="6">
        <v>1364</v>
      </c>
      <c r="J200" s="6">
        <v>3</v>
      </c>
      <c r="K200" s="6">
        <v>0</v>
      </c>
      <c r="L200" s="8">
        <f>73.54*F3</f>
        <v>1912.0400000000002</v>
      </c>
    </row>
    <row r="201" spans="1:12">
      <c r="A201" s="5" t="s">
        <v>148</v>
      </c>
      <c r="B201" s="5" t="s">
        <v>150</v>
      </c>
      <c r="C201" s="6">
        <v>18</v>
      </c>
      <c r="D201" s="8">
        <f t="shared" si="20"/>
        <v>11.194444444444414</v>
      </c>
      <c r="E201" s="6">
        <v>108</v>
      </c>
      <c r="F201" s="6">
        <v>0</v>
      </c>
      <c r="G201" s="6">
        <v>0</v>
      </c>
      <c r="H201" s="6">
        <v>0</v>
      </c>
      <c r="I201" s="6">
        <v>108</v>
      </c>
      <c r="J201" s="6">
        <v>0</v>
      </c>
      <c r="K201" s="6">
        <v>0</v>
      </c>
      <c r="L201" s="8">
        <f>7.74999999999998*F3</f>
        <v>201.49999999999946</v>
      </c>
    </row>
    <row r="202" spans="1:12" ht="18">
      <c r="A202" s="4" t="s">
        <v>49</v>
      </c>
      <c r="B202" s="4"/>
      <c r="C202" s="10">
        <f>SUM(C184:C201)</f>
        <v>10368</v>
      </c>
      <c r="D202" s="12">
        <f t="shared" si="20"/>
        <v>10.487619598765395</v>
      </c>
      <c r="E202" s="10">
        <f t="shared" ref="E202:L202" si="21">SUM(E184:E201)</f>
        <v>53455</v>
      </c>
      <c r="F202" s="10">
        <f t="shared" si="21"/>
        <v>0</v>
      </c>
      <c r="G202" s="10">
        <f t="shared" si="21"/>
        <v>0</v>
      </c>
      <c r="H202" s="10">
        <f t="shared" si="21"/>
        <v>0</v>
      </c>
      <c r="I202" s="10">
        <f t="shared" si="21"/>
        <v>53530</v>
      </c>
      <c r="J202" s="10">
        <f t="shared" si="21"/>
        <v>146</v>
      </c>
      <c r="K202" s="10">
        <f t="shared" si="21"/>
        <v>0</v>
      </c>
      <c r="L202" s="12">
        <f t="shared" si="21"/>
        <v>108735.63999999962</v>
      </c>
    </row>
    <row r="203" spans="1:12" ht="59" customHeight="1"/>
    <row r="205" spans="1:12" ht="41" customHeight="1">
      <c r="A205" s="3" t="s">
        <v>158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36" customHeight="1"/>
    <row r="207" spans="1:12" ht="33" customHeight="1">
      <c r="A207" s="4" t="s">
        <v>140</v>
      </c>
      <c r="B207" s="4" t="s">
        <v>141</v>
      </c>
      <c r="C207" s="4" t="s">
        <v>90</v>
      </c>
      <c r="D207" s="4" t="s">
        <v>91</v>
      </c>
      <c r="E207" s="4" t="s">
        <v>92</v>
      </c>
    </row>
    <row r="208" spans="1:12">
      <c r="A208" s="5" t="s">
        <v>142</v>
      </c>
      <c r="B208" s="5" t="s">
        <v>143</v>
      </c>
      <c r="C208" s="6">
        <v>0</v>
      </c>
      <c r="D208" s="5"/>
      <c r="E208" s="5"/>
    </row>
    <row r="209" spans="1:5">
      <c r="A209" s="5" t="s">
        <v>142</v>
      </c>
      <c r="B209" s="5" t="s">
        <v>149</v>
      </c>
      <c r="C209" s="6">
        <v>0</v>
      </c>
      <c r="D209" s="5"/>
      <c r="E209" s="5"/>
    </row>
    <row r="210" spans="1:5">
      <c r="A210" s="5" t="s">
        <v>142</v>
      </c>
      <c r="B210" s="5" t="s">
        <v>150</v>
      </c>
      <c r="C210" s="6">
        <v>0</v>
      </c>
      <c r="D210" s="5"/>
      <c r="E210" s="5"/>
    </row>
    <row r="211" spans="1:5">
      <c r="A211" s="5" t="s">
        <v>144</v>
      </c>
      <c r="B211" s="5" t="s">
        <v>143</v>
      </c>
      <c r="C211" s="6">
        <v>0</v>
      </c>
      <c r="D211" s="5"/>
      <c r="E211" s="5"/>
    </row>
    <row r="212" spans="1:5">
      <c r="A212" s="5" t="s">
        <v>144</v>
      </c>
      <c r="B212" s="5" t="s">
        <v>149</v>
      </c>
      <c r="C212" s="6">
        <v>0</v>
      </c>
      <c r="D212" s="5"/>
      <c r="E212" s="5"/>
    </row>
    <row r="213" spans="1:5">
      <c r="A213" s="5" t="s">
        <v>144</v>
      </c>
      <c r="B213" s="5" t="s">
        <v>150</v>
      </c>
      <c r="C213" s="6">
        <v>0</v>
      </c>
      <c r="D213" s="5"/>
      <c r="E213" s="5"/>
    </row>
    <row r="214" spans="1:5">
      <c r="A214" s="5" t="s">
        <v>145</v>
      </c>
      <c r="B214" s="5" t="s">
        <v>143</v>
      </c>
      <c r="C214" s="6">
        <v>0</v>
      </c>
      <c r="D214" s="5"/>
      <c r="E214" s="5"/>
    </row>
    <row r="215" spans="1:5">
      <c r="A215" s="5" t="s">
        <v>145</v>
      </c>
      <c r="B215" s="5" t="s">
        <v>149</v>
      </c>
      <c r="C215" s="6">
        <v>0</v>
      </c>
      <c r="D215" s="5"/>
      <c r="E215" s="5"/>
    </row>
    <row r="216" spans="1:5">
      <c r="A216" s="5" t="s">
        <v>145</v>
      </c>
      <c r="B216" s="5" t="s">
        <v>150</v>
      </c>
      <c r="C216" s="6">
        <v>0</v>
      </c>
      <c r="D216" s="5"/>
      <c r="E216" s="5"/>
    </row>
    <row r="217" spans="1:5">
      <c r="A217" s="5" t="s">
        <v>146</v>
      </c>
      <c r="B217" s="5" t="s">
        <v>143</v>
      </c>
      <c r="C217" s="6">
        <v>0</v>
      </c>
      <c r="D217" s="5"/>
      <c r="E217" s="5"/>
    </row>
    <row r="218" spans="1:5">
      <c r="A218" s="5" t="s">
        <v>146</v>
      </c>
      <c r="B218" s="5" t="s">
        <v>149</v>
      </c>
      <c r="C218" s="6">
        <v>0</v>
      </c>
      <c r="D218" s="5"/>
      <c r="E218" s="5"/>
    </row>
    <row r="219" spans="1:5">
      <c r="A219" s="5" t="s">
        <v>146</v>
      </c>
      <c r="B219" s="5" t="s">
        <v>150</v>
      </c>
      <c r="C219" s="6">
        <v>0</v>
      </c>
      <c r="D219" s="5"/>
      <c r="E219" s="5"/>
    </row>
    <row r="220" spans="1:5">
      <c r="A220" s="5" t="s">
        <v>147</v>
      </c>
      <c r="B220" s="5" t="s">
        <v>143</v>
      </c>
      <c r="C220" s="6">
        <v>0</v>
      </c>
      <c r="D220" s="5"/>
      <c r="E220" s="5"/>
    </row>
    <row r="221" spans="1:5">
      <c r="A221" s="5" t="s">
        <v>147</v>
      </c>
      <c r="B221" s="5" t="s">
        <v>149</v>
      </c>
      <c r="C221" s="6">
        <v>0</v>
      </c>
      <c r="D221" s="5"/>
      <c r="E221" s="5"/>
    </row>
    <row r="222" spans="1:5">
      <c r="A222" s="5" t="s">
        <v>147</v>
      </c>
      <c r="B222" s="5" t="s">
        <v>150</v>
      </c>
      <c r="C222" s="6">
        <v>0</v>
      </c>
      <c r="D222" s="5"/>
      <c r="E222" s="5"/>
    </row>
    <row r="223" spans="1:5">
      <c r="A223" s="5" t="s">
        <v>148</v>
      </c>
      <c r="B223" s="5" t="s">
        <v>143</v>
      </c>
      <c r="C223" s="6">
        <v>0</v>
      </c>
      <c r="D223" s="5"/>
      <c r="E223" s="5"/>
    </row>
    <row r="224" spans="1:5">
      <c r="A224" s="5" t="s">
        <v>148</v>
      </c>
      <c r="B224" s="5" t="s">
        <v>149</v>
      </c>
      <c r="C224" s="6">
        <v>0</v>
      </c>
      <c r="D224" s="5"/>
      <c r="E224" s="5"/>
    </row>
    <row r="225" spans="1:12">
      <c r="A225" s="5" t="s">
        <v>148</v>
      </c>
      <c r="B225" s="5" t="s">
        <v>150</v>
      </c>
      <c r="C225" s="6">
        <v>0</v>
      </c>
      <c r="D225" s="5"/>
      <c r="E225" s="5"/>
    </row>
    <row r="226" spans="1:12" ht="59" customHeight="1"/>
    <row r="228" spans="1:12" ht="41" customHeight="1">
      <c r="A228" s="3" t="s">
        <v>159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36" customHeight="1"/>
    <row r="230" spans="1:12" ht="33" customHeight="1">
      <c r="A230" s="4" t="s">
        <v>140</v>
      </c>
      <c r="B230" s="4" t="s">
        <v>141</v>
      </c>
      <c r="C230" s="4" t="s">
        <v>94</v>
      </c>
      <c r="D230" s="4" t="s">
        <v>95</v>
      </c>
    </row>
    <row r="231" spans="1:12">
      <c r="A231" s="5" t="s">
        <v>142</v>
      </c>
      <c r="B231" s="5" t="s">
        <v>143</v>
      </c>
      <c r="C231" s="9">
        <v>0</v>
      </c>
      <c r="D231" s="6">
        <v>0</v>
      </c>
    </row>
    <row r="232" spans="1:12">
      <c r="A232" s="5" t="s">
        <v>142</v>
      </c>
      <c r="B232" s="5" t="s">
        <v>149</v>
      </c>
      <c r="C232" s="9">
        <v>0</v>
      </c>
      <c r="D232" s="6">
        <v>0</v>
      </c>
    </row>
    <row r="233" spans="1:12">
      <c r="A233" s="5" t="s">
        <v>142</v>
      </c>
      <c r="B233" s="5" t="s">
        <v>150</v>
      </c>
      <c r="C233" s="9">
        <v>0</v>
      </c>
      <c r="D233" s="6">
        <v>0</v>
      </c>
    </row>
    <row r="234" spans="1:12">
      <c r="A234" s="5" t="s">
        <v>144</v>
      </c>
      <c r="B234" s="5" t="s">
        <v>143</v>
      </c>
      <c r="C234" s="9">
        <v>0</v>
      </c>
      <c r="D234" s="6">
        <v>0</v>
      </c>
    </row>
    <row r="235" spans="1:12">
      <c r="A235" s="5" t="s">
        <v>144</v>
      </c>
      <c r="B235" s="5" t="s">
        <v>149</v>
      </c>
      <c r="C235" s="9">
        <v>0</v>
      </c>
      <c r="D235" s="6">
        <v>0</v>
      </c>
    </row>
    <row r="236" spans="1:12">
      <c r="A236" s="5" t="s">
        <v>144</v>
      </c>
      <c r="B236" s="5" t="s">
        <v>150</v>
      </c>
      <c r="C236" s="9">
        <v>0</v>
      </c>
      <c r="D236" s="6">
        <v>0</v>
      </c>
    </row>
    <row r="237" spans="1:12">
      <c r="A237" s="5" t="s">
        <v>145</v>
      </c>
      <c r="B237" s="5" t="s">
        <v>143</v>
      </c>
      <c r="C237" s="9">
        <v>0</v>
      </c>
      <c r="D237" s="6">
        <v>0</v>
      </c>
    </row>
    <row r="238" spans="1:12">
      <c r="A238" s="5" t="s">
        <v>145</v>
      </c>
      <c r="B238" s="5" t="s">
        <v>149</v>
      </c>
      <c r="C238" s="9">
        <v>0</v>
      </c>
      <c r="D238" s="6">
        <v>0</v>
      </c>
    </row>
    <row r="239" spans="1:12">
      <c r="A239" s="5" t="s">
        <v>145</v>
      </c>
      <c r="B239" s="5" t="s">
        <v>150</v>
      </c>
      <c r="C239" s="9">
        <v>0</v>
      </c>
      <c r="D239" s="6">
        <v>0</v>
      </c>
    </row>
    <row r="240" spans="1:12">
      <c r="A240" s="5" t="s">
        <v>146</v>
      </c>
      <c r="B240" s="5" t="s">
        <v>143</v>
      </c>
      <c r="C240" s="9">
        <v>0</v>
      </c>
      <c r="D240" s="6">
        <v>0</v>
      </c>
    </row>
    <row r="241" spans="1:12">
      <c r="A241" s="5" t="s">
        <v>146</v>
      </c>
      <c r="B241" s="5" t="s">
        <v>149</v>
      </c>
      <c r="C241" s="9">
        <v>0</v>
      </c>
      <c r="D241" s="6">
        <v>0</v>
      </c>
    </row>
    <row r="242" spans="1:12">
      <c r="A242" s="5" t="s">
        <v>146</v>
      </c>
      <c r="B242" s="5" t="s">
        <v>150</v>
      </c>
      <c r="C242" s="9">
        <v>0</v>
      </c>
      <c r="D242" s="6">
        <v>0</v>
      </c>
    </row>
    <row r="243" spans="1:12">
      <c r="A243" s="5" t="s">
        <v>147</v>
      </c>
      <c r="B243" s="5" t="s">
        <v>143</v>
      </c>
      <c r="C243" s="9">
        <v>0</v>
      </c>
      <c r="D243" s="6">
        <v>0</v>
      </c>
    </row>
    <row r="244" spans="1:12">
      <c r="A244" s="5" t="s">
        <v>147</v>
      </c>
      <c r="B244" s="5" t="s">
        <v>149</v>
      </c>
      <c r="C244" s="9">
        <v>0</v>
      </c>
      <c r="D244" s="6">
        <v>0</v>
      </c>
    </row>
    <row r="245" spans="1:12">
      <c r="A245" s="5" t="s">
        <v>147</v>
      </c>
      <c r="B245" s="5" t="s">
        <v>150</v>
      </c>
      <c r="C245" s="9">
        <v>0</v>
      </c>
      <c r="D245" s="6">
        <v>0</v>
      </c>
    </row>
    <row r="246" spans="1:12">
      <c r="A246" s="5" t="s">
        <v>148</v>
      </c>
      <c r="B246" s="5" t="s">
        <v>143</v>
      </c>
      <c r="C246" s="9">
        <v>0</v>
      </c>
      <c r="D246" s="6">
        <v>0</v>
      </c>
    </row>
    <row r="247" spans="1:12">
      <c r="A247" s="5" t="s">
        <v>148</v>
      </c>
      <c r="B247" s="5" t="s">
        <v>149</v>
      </c>
      <c r="C247" s="9">
        <v>0</v>
      </c>
      <c r="D247" s="6">
        <v>0</v>
      </c>
    </row>
    <row r="248" spans="1:12">
      <c r="A248" s="5" t="s">
        <v>148</v>
      </c>
      <c r="B248" s="5" t="s">
        <v>150</v>
      </c>
      <c r="C248" s="9">
        <v>0</v>
      </c>
      <c r="D248" s="6">
        <v>0</v>
      </c>
    </row>
    <row r="249" spans="1:12" ht="18">
      <c r="A249" s="4" t="s">
        <v>49</v>
      </c>
      <c r="B249" s="4"/>
      <c r="C249" s="17">
        <f>AVERAGE(C231:C248)</f>
        <v>0</v>
      </c>
      <c r="D249" s="10">
        <f>SUM(D231:D248)</f>
        <v>0</v>
      </c>
    </row>
    <row r="250" spans="1:12" ht="59" customHeight="1"/>
    <row r="252" spans="1:12" ht="41" customHeight="1">
      <c r="A252" s="3" t="s">
        <v>160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36" customHeight="1"/>
    <row r="254" spans="1:12" ht="33" customHeight="1">
      <c r="A254" s="4" t="s">
        <v>140</v>
      </c>
      <c r="B254" s="4" t="s">
        <v>141</v>
      </c>
    </row>
    <row r="255" spans="1:12">
      <c r="A255" s="5" t="s">
        <v>142</v>
      </c>
      <c r="B255" s="5" t="s">
        <v>143</v>
      </c>
    </row>
    <row r="256" spans="1:12">
      <c r="A256" s="5" t="s">
        <v>142</v>
      </c>
      <c r="B256" s="5" t="s">
        <v>149</v>
      </c>
    </row>
    <row r="257" spans="1:2">
      <c r="A257" s="5" t="s">
        <v>142</v>
      </c>
      <c r="B257" s="5" t="s">
        <v>150</v>
      </c>
    </row>
    <row r="258" spans="1:2">
      <c r="A258" s="5" t="s">
        <v>144</v>
      </c>
      <c r="B258" s="5" t="s">
        <v>143</v>
      </c>
    </row>
    <row r="259" spans="1:2">
      <c r="A259" s="5" t="s">
        <v>144</v>
      </c>
      <c r="B259" s="5" t="s">
        <v>149</v>
      </c>
    </row>
    <row r="260" spans="1:2">
      <c r="A260" s="5" t="s">
        <v>144</v>
      </c>
      <c r="B260" s="5" t="s">
        <v>150</v>
      </c>
    </row>
    <row r="261" spans="1:2">
      <c r="A261" s="5" t="s">
        <v>145</v>
      </c>
      <c r="B261" s="5" t="s">
        <v>143</v>
      </c>
    </row>
    <row r="262" spans="1:2">
      <c r="A262" s="5" t="s">
        <v>145</v>
      </c>
      <c r="B262" s="5" t="s">
        <v>149</v>
      </c>
    </row>
    <row r="263" spans="1:2">
      <c r="A263" s="5" t="s">
        <v>145</v>
      </c>
      <c r="B263" s="5" t="s">
        <v>150</v>
      </c>
    </row>
    <row r="264" spans="1:2">
      <c r="A264" s="5" t="s">
        <v>146</v>
      </c>
      <c r="B264" s="5" t="s">
        <v>143</v>
      </c>
    </row>
    <row r="265" spans="1:2">
      <c r="A265" s="5" t="s">
        <v>146</v>
      </c>
      <c r="B265" s="5" t="s">
        <v>149</v>
      </c>
    </row>
    <row r="266" spans="1:2">
      <c r="A266" s="5" t="s">
        <v>146</v>
      </c>
      <c r="B266" s="5" t="s">
        <v>150</v>
      </c>
    </row>
    <row r="267" spans="1:2">
      <c r="A267" s="5" t="s">
        <v>147</v>
      </c>
      <c r="B267" s="5" t="s">
        <v>143</v>
      </c>
    </row>
    <row r="268" spans="1:2">
      <c r="A268" s="5" t="s">
        <v>147</v>
      </c>
      <c r="B268" s="5" t="s">
        <v>149</v>
      </c>
    </row>
    <row r="269" spans="1:2">
      <c r="A269" s="5" t="s">
        <v>147</v>
      </c>
      <c r="B269" s="5" t="s">
        <v>150</v>
      </c>
    </row>
    <row r="270" spans="1:2">
      <c r="A270" s="5" t="s">
        <v>148</v>
      </c>
      <c r="B270" s="5" t="s">
        <v>143</v>
      </c>
    </row>
    <row r="271" spans="1:2">
      <c r="A271" s="5" t="s">
        <v>148</v>
      </c>
      <c r="B271" s="5" t="s">
        <v>149</v>
      </c>
    </row>
    <row r="272" spans="1:2">
      <c r="A272" s="5" t="s">
        <v>148</v>
      </c>
      <c r="B272" s="5" t="s">
        <v>150</v>
      </c>
    </row>
    <row r="273" spans="1:12" ht="18">
      <c r="A273" s="4" t="s">
        <v>49</v>
      </c>
      <c r="B273" s="4"/>
    </row>
    <row r="274" spans="1:12" ht="59" customHeight="1"/>
    <row r="276" spans="1:12" ht="41" customHeight="1">
      <c r="A276" s="3" t="s">
        <v>161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36" customHeight="1"/>
    <row r="278" spans="1:12" ht="33" customHeight="1">
      <c r="A278" s="4" t="s">
        <v>140</v>
      </c>
      <c r="B278" s="4" t="s">
        <v>141</v>
      </c>
      <c r="C278" s="4" t="s">
        <v>98</v>
      </c>
      <c r="D278" s="4" t="s">
        <v>99</v>
      </c>
    </row>
    <row r="279" spans="1:12">
      <c r="A279" s="5" t="s">
        <v>142</v>
      </c>
      <c r="B279" s="5" t="s">
        <v>143</v>
      </c>
      <c r="C279" s="7">
        <v>0</v>
      </c>
      <c r="D279" s="6">
        <v>0</v>
      </c>
    </row>
    <row r="280" spans="1:12">
      <c r="A280" s="5" t="s">
        <v>142</v>
      </c>
      <c r="B280" s="5" t="s">
        <v>149</v>
      </c>
      <c r="C280" s="7">
        <v>0</v>
      </c>
      <c r="D280" s="6">
        <v>0</v>
      </c>
    </row>
    <row r="281" spans="1:12">
      <c r="A281" s="5" t="s">
        <v>142</v>
      </c>
      <c r="B281" s="5" t="s">
        <v>150</v>
      </c>
      <c r="C281" s="7">
        <v>0</v>
      </c>
      <c r="D281" s="6">
        <v>0</v>
      </c>
    </row>
    <row r="282" spans="1:12">
      <c r="A282" s="5" t="s">
        <v>144</v>
      </c>
      <c r="B282" s="5" t="s">
        <v>143</v>
      </c>
      <c r="C282" s="7">
        <v>0</v>
      </c>
      <c r="D282" s="6">
        <v>0</v>
      </c>
    </row>
    <row r="283" spans="1:12">
      <c r="A283" s="5" t="s">
        <v>144</v>
      </c>
      <c r="B283" s="5" t="s">
        <v>149</v>
      </c>
      <c r="C283" s="7">
        <v>0</v>
      </c>
      <c r="D283" s="6">
        <v>0</v>
      </c>
    </row>
    <row r="284" spans="1:12">
      <c r="A284" s="5" t="s">
        <v>144</v>
      </c>
      <c r="B284" s="5" t="s">
        <v>150</v>
      </c>
      <c r="C284" s="7">
        <v>0</v>
      </c>
      <c r="D284" s="6">
        <v>0</v>
      </c>
    </row>
    <row r="285" spans="1:12">
      <c r="A285" s="5" t="s">
        <v>145</v>
      </c>
      <c r="B285" s="5" t="s">
        <v>143</v>
      </c>
      <c r="C285" s="7">
        <v>0</v>
      </c>
      <c r="D285" s="6">
        <v>0</v>
      </c>
    </row>
    <row r="286" spans="1:12">
      <c r="A286" s="5" t="s">
        <v>145</v>
      </c>
      <c r="B286" s="5" t="s">
        <v>149</v>
      </c>
      <c r="C286" s="7">
        <v>0</v>
      </c>
      <c r="D286" s="6">
        <v>0</v>
      </c>
    </row>
    <row r="287" spans="1:12">
      <c r="A287" s="5" t="s">
        <v>145</v>
      </c>
      <c r="B287" s="5" t="s">
        <v>150</v>
      </c>
      <c r="C287" s="7">
        <v>0</v>
      </c>
      <c r="D287" s="6">
        <v>0</v>
      </c>
    </row>
    <row r="288" spans="1:12">
      <c r="A288" s="5" t="s">
        <v>146</v>
      </c>
      <c r="B288" s="5" t="s">
        <v>143</v>
      </c>
      <c r="C288" s="7">
        <v>0</v>
      </c>
      <c r="D288" s="6">
        <v>0</v>
      </c>
    </row>
    <row r="289" spans="1:12">
      <c r="A289" s="5" t="s">
        <v>146</v>
      </c>
      <c r="B289" s="5" t="s">
        <v>149</v>
      </c>
      <c r="C289" s="7">
        <v>0</v>
      </c>
      <c r="D289" s="6">
        <v>0</v>
      </c>
    </row>
    <row r="290" spans="1:12">
      <c r="A290" s="5" t="s">
        <v>146</v>
      </c>
      <c r="B290" s="5" t="s">
        <v>150</v>
      </c>
      <c r="C290" s="7">
        <v>0</v>
      </c>
      <c r="D290" s="6">
        <v>0</v>
      </c>
    </row>
    <row r="291" spans="1:12">
      <c r="A291" s="5" t="s">
        <v>147</v>
      </c>
      <c r="B291" s="5" t="s">
        <v>143</v>
      </c>
      <c r="C291" s="7">
        <v>0</v>
      </c>
      <c r="D291" s="6">
        <v>0</v>
      </c>
    </row>
    <row r="292" spans="1:12">
      <c r="A292" s="5" t="s">
        <v>147</v>
      </c>
      <c r="B292" s="5" t="s">
        <v>149</v>
      </c>
      <c r="C292" s="7">
        <v>0</v>
      </c>
      <c r="D292" s="6">
        <v>0</v>
      </c>
    </row>
    <row r="293" spans="1:12">
      <c r="A293" s="5" t="s">
        <v>147</v>
      </c>
      <c r="B293" s="5" t="s">
        <v>150</v>
      </c>
      <c r="C293" s="7">
        <v>0</v>
      </c>
      <c r="D293" s="6">
        <v>0</v>
      </c>
    </row>
    <row r="294" spans="1:12">
      <c r="A294" s="5" t="s">
        <v>148</v>
      </c>
      <c r="B294" s="5" t="s">
        <v>143</v>
      </c>
      <c r="C294" s="7">
        <v>0</v>
      </c>
      <c r="D294" s="6">
        <v>0</v>
      </c>
    </row>
    <row r="295" spans="1:12">
      <c r="A295" s="5" t="s">
        <v>148</v>
      </c>
      <c r="B295" s="5" t="s">
        <v>149</v>
      </c>
      <c r="C295" s="7">
        <v>0</v>
      </c>
      <c r="D295" s="6">
        <v>0</v>
      </c>
    </row>
    <row r="296" spans="1:12">
      <c r="A296" s="5" t="s">
        <v>148</v>
      </c>
      <c r="B296" s="5" t="s">
        <v>150</v>
      </c>
      <c r="C296" s="7">
        <v>0</v>
      </c>
      <c r="D296" s="6">
        <v>0</v>
      </c>
    </row>
    <row r="297" spans="1:12" ht="18">
      <c r="A297" s="4" t="s">
        <v>49</v>
      </c>
      <c r="B297" s="4"/>
      <c r="C297" s="11">
        <f>AVERAGE(C279:C296)</f>
        <v>0</v>
      </c>
      <c r="D297" s="10">
        <f>SUM(D279:D296)</f>
        <v>0</v>
      </c>
    </row>
    <row r="298" spans="1:12" ht="59" customHeight="1"/>
    <row r="300" spans="1:12" ht="41" customHeight="1">
      <c r="A300" s="3" t="s">
        <v>162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36" customHeight="1"/>
    <row r="302" spans="1:12" ht="33" customHeight="1">
      <c r="A302" s="4" t="s">
        <v>140</v>
      </c>
      <c r="B302" s="4" t="s">
        <v>141</v>
      </c>
      <c r="C302" s="4" t="s">
        <v>101</v>
      </c>
      <c r="D302" s="4" t="s">
        <v>102</v>
      </c>
      <c r="E302" s="4" t="s">
        <v>103</v>
      </c>
      <c r="F302" s="4" t="s">
        <v>104</v>
      </c>
      <c r="G302" s="4" t="s">
        <v>105</v>
      </c>
      <c r="H302" s="4" t="s">
        <v>106</v>
      </c>
      <c r="I302" s="4" t="s">
        <v>107</v>
      </c>
      <c r="J302" s="4" t="s">
        <v>108</v>
      </c>
      <c r="K302" s="4" t="s">
        <v>109</v>
      </c>
      <c r="L302" s="4" t="s">
        <v>110</v>
      </c>
    </row>
    <row r="303" spans="1:12">
      <c r="A303" s="5" t="s">
        <v>142</v>
      </c>
      <c r="B303" s="5" t="s">
        <v>143</v>
      </c>
      <c r="C303" s="18">
        <v>3175</v>
      </c>
      <c r="D303" s="18">
        <v>2933</v>
      </c>
      <c r="E303" s="18">
        <v>40</v>
      </c>
      <c r="F303" s="18">
        <v>38</v>
      </c>
      <c r="G303" s="18">
        <v>2933</v>
      </c>
      <c r="H303" s="8">
        <f>0*F3</f>
        <v>0</v>
      </c>
      <c r="I303" s="9">
        <f>C303/29302</f>
        <v>0.10835437854071395</v>
      </c>
      <c r="J303" s="9">
        <f>E303/469</f>
        <v>8.5287846481876331E-2</v>
      </c>
      <c r="K303" s="9">
        <f>G303/25893</f>
        <v>0.11327385779940524</v>
      </c>
      <c r="L303" s="9">
        <f>H303/(104.82*F3)</f>
        <v>0</v>
      </c>
    </row>
    <row r="304" spans="1:12">
      <c r="A304" s="5" t="s">
        <v>142</v>
      </c>
      <c r="B304" s="5" t="s">
        <v>149</v>
      </c>
      <c r="C304" s="18">
        <v>9649</v>
      </c>
      <c r="D304" s="18">
        <v>8957</v>
      </c>
      <c r="E304" s="18">
        <v>192</v>
      </c>
      <c r="F304" s="18">
        <v>174</v>
      </c>
      <c r="G304" s="18">
        <v>8957</v>
      </c>
      <c r="H304" s="8">
        <f>0*F3</f>
        <v>0</v>
      </c>
      <c r="I304" s="9">
        <f t="shared" ref="I304:I320" si="22">C304/29302</f>
        <v>0.32929492867381066</v>
      </c>
      <c r="J304" s="9">
        <f t="shared" ref="J304:J320" si="23">E304/469</f>
        <v>0.40938166311300639</v>
      </c>
      <c r="K304" s="9">
        <f t="shared" ref="K304:K320" si="24">G304/25893</f>
        <v>0.3459236086973313</v>
      </c>
      <c r="L304" s="9" t="e">
        <f t="shared" ref="L304:L320" si="25">H304/(104.82*F4)</f>
        <v>#DIV/0!</v>
      </c>
    </row>
    <row r="305" spans="1:12">
      <c r="A305" s="5" t="s">
        <v>142</v>
      </c>
      <c r="B305" s="5" t="s">
        <v>150</v>
      </c>
      <c r="C305" s="18">
        <v>60</v>
      </c>
      <c r="D305" s="18">
        <v>57</v>
      </c>
      <c r="E305" s="18">
        <v>0</v>
      </c>
      <c r="F305" s="18">
        <v>0</v>
      </c>
      <c r="G305" s="18">
        <v>57</v>
      </c>
      <c r="H305" s="8">
        <f>0*F3</f>
        <v>0</v>
      </c>
      <c r="I305" s="9">
        <f t="shared" si="22"/>
        <v>2.0476417991945944E-3</v>
      </c>
      <c r="J305" s="9">
        <f t="shared" si="23"/>
        <v>0</v>
      </c>
      <c r="K305" s="9">
        <f t="shared" si="24"/>
        <v>2.2013671648708146E-3</v>
      </c>
      <c r="L305" s="9" t="e">
        <f t="shared" si="25"/>
        <v>#DIV/0!</v>
      </c>
    </row>
    <row r="306" spans="1:12">
      <c r="A306" s="5" t="s">
        <v>144</v>
      </c>
      <c r="B306" s="5" t="s">
        <v>143</v>
      </c>
      <c r="C306" s="18">
        <v>9448</v>
      </c>
      <c r="D306" s="18">
        <v>8709</v>
      </c>
      <c r="E306" s="18">
        <v>150</v>
      </c>
      <c r="F306" s="18">
        <v>124</v>
      </c>
      <c r="G306" s="18">
        <v>8709</v>
      </c>
      <c r="H306" s="8">
        <f>0*F3</f>
        <v>0</v>
      </c>
      <c r="I306" s="9">
        <f t="shared" si="22"/>
        <v>0.32243532864650876</v>
      </c>
      <c r="J306" s="9">
        <f t="shared" si="23"/>
        <v>0.31982942430703626</v>
      </c>
      <c r="K306" s="9">
        <f t="shared" si="24"/>
        <v>0.33634573050631444</v>
      </c>
      <c r="L306" s="9" t="e">
        <f t="shared" si="25"/>
        <v>#DIV/0!</v>
      </c>
    </row>
    <row r="307" spans="1:12">
      <c r="A307" s="5" t="s">
        <v>144</v>
      </c>
      <c r="B307" s="5" t="s">
        <v>149</v>
      </c>
      <c r="C307" s="18">
        <v>30741</v>
      </c>
      <c r="D307" s="18">
        <v>27758</v>
      </c>
      <c r="E307" s="18">
        <v>485</v>
      </c>
      <c r="F307" s="18">
        <v>429</v>
      </c>
      <c r="G307" s="18">
        <v>27758</v>
      </c>
      <c r="H307" s="8">
        <f>0*F3</f>
        <v>0</v>
      </c>
      <c r="I307" s="9">
        <f t="shared" si="22"/>
        <v>1.0491092758173504</v>
      </c>
      <c r="J307" s="9">
        <f t="shared" si="23"/>
        <v>1.0341151385927505</v>
      </c>
      <c r="K307" s="9">
        <f t="shared" si="24"/>
        <v>1.07202718881551</v>
      </c>
      <c r="L307" s="9" t="e">
        <f t="shared" si="25"/>
        <v>#DIV/0!</v>
      </c>
    </row>
    <row r="308" spans="1:12">
      <c r="A308" s="5" t="s">
        <v>144</v>
      </c>
      <c r="B308" s="5" t="s">
        <v>150</v>
      </c>
      <c r="C308" s="18">
        <v>420</v>
      </c>
      <c r="D308" s="18">
        <v>400</v>
      </c>
      <c r="E308" s="18">
        <v>8</v>
      </c>
      <c r="F308" s="18">
        <v>8</v>
      </c>
      <c r="G308" s="18">
        <v>400</v>
      </c>
      <c r="H308" s="8">
        <f>0*F3</f>
        <v>0</v>
      </c>
      <c r="I308" s="9">
        <f t="shared" si="22"/>
        <v>1.433349259436216E-2</v>
      </c>
      <c r="J308" s="9">
        <f t="shared" si="23"/>
        <v>1.7057569296375266E-2</v>
      </c>
      <c r="K308" s="9">
        <f t="shared" si="24"/>
        <v>1.5448190630672383E-2</v>
      </c>
      <c r="L308" s="9" t="e">
        <f t="shared" si="25"/>
        <v>#DIV/0!</v>
      </c>
    </row>
    <row r="309" spans="1:12">
      <c r="A309" s="5" t="s">
        <v>145</v>
      </c>
      <c r="B309" s="5" t="s">
        <v>143</v>
      </c>
      <c r="C309" s="18">
        <v>2100</v>
      </c>
      <c r="D309" s="18">
        <v>1913</v>
      </c>
      <c r="E309" s="18">
        <v>28</v>
      </c>
      <c r="F309" s="18">
        <v>26</v>
      </c>
      <c r="G309" s="18">
        <v>1913</v>
      </c>
      <c r="H309" s="8">
        <f>0*F3</f>
        <v>0</v>
      </c>
      <c r="I309" s="9">
        <f t="shared" si="22"/>
        <v>7.16674629718108E-2</v>
      </c>
      <c r="J309" s="9">
        <f t="shared" si="23"/>
        <v>5.9701492537313432E-2</v>
      </c>
      <c r="K309" s="9">
        <f t="shared" si="24"/>
        <v>7.3880971691190664E-2</v>
      </c>
      <c r="L309" s="9" t="e">
        <f t="shared" si="25"/>
        <v>#DIV/0!</v>
      </c>
    </row>
    <row r="310" spans="1:12">
      <c r="A310" s="5" t="s">
        <v>145</v>
      </c>
      <c r="B310" s="5" t="s">
        <v>149</v>
      </c>
      <c r="C310" s="18">
        <v>8098</v>
      </c>
      <c r="D310" s="18">
        <v>7250</v>
      </c>
      <c r="E310" s="18">
        <v>145</v>
      </c>
      <c r="F310" s="18">
        <v>122</v>
      </c>
      <c r="G310" s="18">
        <v>7250</v>
      </c>
      <c r="H310" s="8">
        <f>0*F3</f>
        <v>0</v>
      </c>
      <c r="I310" s="9">
        <f t="shared" si="22"/>
        <v>0.27636338816463041</v>
      </c>
      <c r="J310" s="9">
        <f t="shared" si="23"/>
        <v>0.30916844349680173</v>
      </c>
      <c r="K310" s="9">
        <f t="shared" si="24"/>
        <v>0.27999845518093691</v>
      </c>
      <c r="L310" s="9" t="e">
        <f t="shared" si="25"/>
        <v>#DIV/0!</v>
      </c>
    </row>
    <row r="311" spans="1:12">
      <c r="A311" s="5" t="s">
        <v>145</v>
      </c>
      <c r="B311" s="5" t="s">
        <v>150</v>
      </c>
      <c r="C311" s="18">
        <v>193</v>
      </c>
      <c r="D311" s="18">
        <v>171</v>
      </c>
      <c r="E311" s="18">
        <v>5</v>
      </c>
      <c r="F311" s="18">
        <v>4</v>
      </c>
      <c r="G311" s="18">
        <v>171</v>
      </c>
      <c r="H311" s="8">
        <f>0*F3</f>
        <v>0</v>
      </c>
      <c r="I311" s="9">
        <f t="shared" si="22"/>
        <v>6.5865811207426114E-3</v>
      </c>
      <c r="J311" s="9">
        <f t="shared" si="23"/>
        <v>1.0660980810234541E-2</v>
      </c>
      <c r="K311" s="9">
        <f t="shared" si="24"/>
        <v>6.6041014946124433E-3</v>
      </c>
      <c r="L311" s="9" t="e">
        <f t="shared" si="25"/>
        <v>#DIV/0!</v>
      </c>
    </row>
    <row r="312" spans="1:12">
      <c r="A312" s="5" t="s">
        <v>146</v>
      </c>
      <c r="B312" s="5" t="s">
        <v>143</v>
      </c>
      <c r="C312" s="18">
        <v>418</v>
      </c>
      <c r="D312" s="18">
        <v>388</v>
      </c>
      <c r="E312" s="18">
        <v>9</v>
      </c>
      <c r="F312" s="18">
        <v>8</v>
      </c>
      <c r="G312" s="18">
        <v>388</v>
      </c>
      <c r="H312" s="8">
        <f>0*F3</f>
        <v>0</v>
      </c>
      <c r="I312" s="9">
        <f t="shared" si="22"/>
        <v>1.426523786772234E-2</v>
      </c>
      <c r="J312" s="9">
        <f t="shared" si="23"/>
        <v>1.9189765458422176E-2</v>
      </c>
      <c r="K312" s="9">
        <f t="shared" si="24"/>
        <v>1.4984744911752211E-2</v>
      </c>
      <c r="L312" s="9" t="e">
        <f t="shared" si="25"/>
        <v>#DIV/0!</v>
      </c>
    </row>
    <row r="313" spans="1:12">
      <c r="A313" s="5" t="s">
        <v>146</v>
      </c>
      <c r="B313" s="5" t="s">
        <v>149</v>
      </c>
      <c r="C313" s="18">
        <v>1220</v>
      </c>
      <c r="D313" s="18">
        <v>1100</v>
      </c>
      <c r="E313" s="18">
        <v>20</v>
      </c>
      <c r="F313" s="18">
        <v>18</v>
      </c>
      <c r="G313" s="18">
        <v>1100</v>
      </c>
      <c r="H313" s="8">
        <f>0*F3</f>
        <v>0</v>
      </c>
      <c r="I313" s="9">
        <f t="shared" si="22"/>
        <v>4.1635383250290085E-2</v>
      </c>
      <c r="J313" s="9">
        <f t="shared" si="23"/>
        <v>4.2643923240938165E-2</v>
      </c>
      <c r="K313" s="9">
        <f t="shared" si="24"/>
        <v>4.2482524234349055E-2</v>
      </c>
      <c r="L313" s="9" t="e">
        <f t="shared" si="25"/>
        <v>#DIV/0!</v>
      </c>
    </row>
    <row r="314" spans="1:12">
      <c r="A314" s="5" t="s">
        <v>146</v>
      </c>
      <c r="B314" s="5" t="s">
        <v>150</v>
      </c>
      <c r="C314" s="18">
        <v>25</v>
      </c>
      <c r="D314" s="18">
        <v>22</v>
      </c>
      <c r="E314" s="18">
        <v>0</v>
      </c>
      <c r="F314" s="18">
        <v>0</v>
      </c>
      <c r="G314" s="18">
        <v>22</v>
      </c>
      <c r="H314" s="8">
        <f>0*F3</f>
        <v>0</v>
      </c>
      <c r="I314" s="9">
        <f t="shared" si="22"/>
        <v>8.5318408299774756E-4</v>
      </c>
      <c r="J314" s="9">
        <f t="shared" si="23"/>
        <v>0</v>
      </c>
      <c r="K314" s="9">
        <f t="shared" si="24"/>
        <v>8.4965048468698106E-4</v>
      </c>
      <c r="L314" s="9" t="e">
        <f t="shared" si="25"/>
        <v>#DIV/0!</v>
      </c>
    </row>
    <row r="315" spans="1:12">
      <c r="A315" s="5" t="s">
        <v>147</v>
      </c>
      <c r="B315" s="5" t="s">
        <v>143</v>
      </c>
      <c r="C315" s="18">
        <v>69</v>
      </c>
      <c r="D315" s="18">
        <v>66</v>
      </c>
      <c r="E315" s="18">
        <v>0</v>
      </c>
      <c r="F315" s="18">
        <v>0</v>
      </c>
      <c r="G315" s="18">
        <v>66</v>
      </c>
      <c r="H315" s="8">
        <f>0*F3</f>
        <v>0</v>
      </c>
      <c r="I315" s="9">
        <f t="shared" si="22"/>
        <v>2.3547880690737832E-3</v>
      </c>
      <c r="J315" s="9">
        <f t="shared" si="23"/>
        <v>0</v>
      </c>
      <c r="K315" s="9">
        <f t="shared" si="24"/>
        <v>2.5489514540609432E-3</v>
      </c>
      <c r="L315" s="9" t="e">
        <f t="shared" si="25"/>
        <v>#VALUE!</v>
      </c>
    </row>
    <row r="316" spans="1:12">
      <c r="A316" s="5" t="s">
        <v>147</v>
      </c>
      <c r="B316" s="5" t="s">
        <v>149</v>
      </c>
      <c r="C316" s="18">
        <v>264</v>
      </c>
      <c r="D316" s="18">
        <v>218</v>
      </c>
      <c r="E316" s="18">
        <v>7</v>
      </c>
      <c r="F316" s="18">
        <v>7</v>
      </c>
      <c r="G316" s="18">
        <v>218</v>
      </c>
      <c r="H316" s="8">
        <f>0*F3</f>
        <v>0</v>
      </c>
      <c r="I316" s="9">
        <f t="shared" si="22"/>
        <v>9.0096239164562143E-3</v>
      </c>
      <c r="J316" s="9">
        <f t="shared" si="23"/>
        <v>1.4925373134328358E-2</v>
      </c>
      <c r="K316" s="9">
        <f t="shared" si="24"/>
        <v>8.4192638937164478E-3</v>
      </c>
      <c r="L316" s="9">
        <f t="shared" si="25"/>
        <v>0</v>
      </c>
    </row>
    <row r="317" spans="1:12">
      <c r="A317" s="5" t="s">
        <v>147</v>
      </c>
      <c r="B317" s="5" t="s">
        <v>150</v>
      </c>
      <c r="C317" s="18">
        <v>2</v>
      </c>
      <c r="D317" s="18">
        <v>2</v>
      </c>
      <c r="E317" s="18">
        <v>0</v>
      </c>
      <c r="F317" s="18">
        <v>0</v>
      </c>
      <c r="G317" s="18">
        <v>2</v>
      </c>
      <c r="H317" s="8">
        <f>0*F3</f>
        <v>0</v>
      </c>
      <c r="I317" s="9">
        <f t="shared" si="22"/>
        <v>6.8254726639819808E-5</v>
      </c>
      <c r="J317" s="9">
        <f t="shared" si="23"/>
        <v>0</v>
      </c>
      <c r="K317" s="9">
        <f t="shared" si="24"/>
        <v>7.7240953153361915E-5</v>
      </c>
      <c r="L317" s="9">
        <f t="shared" si="25"/>
        <v>0</v>
      </c>
    </row>
    <row r="318" spans="1:12">
      <c r="A318" s="5" t="s">
        <v>148</v>
      </c>
      <c r="B318" s="5" t="s">
        <v>143</v>
      </c>
      <c r="C318" s="18">
        <v>336</v>
      </c>
      <c r="D318" s="18">
        <v>296</v>
      </c>
      <c r="E318" s="18">
        <v>5</v>
      </c>
      <c r="F318" s="18">
        <v>5</v>
      </c>
      <c r="G318" s="18">
        <v>296</v>
      </c>
      <c r="H318" s="8">
        <f>0*F3</f>
        <v>0</v>
      </c>
      <c r="I318" s="9">
        <f t="shared" si="22"/>
        <v>1.1466794075489728E-2</v>
      </c>
      <c r="J318" s="9">
        <f t="shared" si="23"/>
        <v>1.0660980810234541E-2</v>
      </c>
      <c r="K318" s="9">
        <f t="shared" si="24"/>
        <v>1.1431661066697563E-2</v>
      </c>
      <c r="L318" s="9">
        <f t="shared" si="25"/>
        <v>0</v>
      </c>
    </row>
    <row r="319" spans="1:12">
      <c r="A319" s="5" t="s">
        <v>148</v>
      </c>
      <c r="B319" s="5" t="s">
        <v>149</v>
      </c>
      <c r="C319" s="18">
        <v>852</v>
      </c>
      <c r="D319" s="18">
        <v>783</v>
      </c>
      <c r="E319" s="18">
        <v>19</v>
      </c>
      <c r="F319" s="18">
        <v>18</v>
      </c>
      <c r="G319" s="18">
        <v>783</v>
      </c>
      <c r="H319" s="8">
        <f>0*F3</f>
        <v>0</v>
      </c>
      <c r="I319" s="9">
        <f t="shared" si="22"/>
        <v>2.9076513548563238E-2</v>
      </c>
      <c r="J319" s="9">
        <f t="shared" si="23"/>
        <v>4.0511727078891259E-2</v>
      </c>
      <c r="K319" s="9">
        <f t="shared" si="24"/>
        <v>3.023983315954119E-2</v>
      </c>
      <c r="L319" s="9">
        <f t="shared" si="25"/>
        <v>0</v>
      </c>
    </row>
    <row r="320" spans="1:12">
      <c r="A320" s="5" t="s">
        <v>148</v>
      </c>
      <c r="B320" s="5" t="s">
        <v>150</v>
      </c>
      <c r="C320" s="18">
        <v>59</v>
      </c>
      <c r="D320" s="18">
        <v>54</v>
      </c>
      <c r="E320" s="18">
        <v>1</v>
      </c>
      <c r="F320" s="18">
        <v>1</v>
      </c>
      <c r="G320" s="18">
        <v>54</v>
      </c>
      <c r="H320" s="8">
        <f>0*F3</f>
        <v>0</v>
      </c>
      <c r="I320" s="9">
        <f t="shared" si="22"/>
        <v>2.0135144358746845E-3</v>
      </c>
      <c r="J320" s="9">
        <f t="shared" si="23"/>
        <v>2.1321961620469083E-3</v>
      </c>
      <c r="K320" s="9">
        <f t="shared" si="24"/>
        <v>2.0855057351407717E-3</v>
      </c>
      <c r="L320" s="9">
        <f t="shared" si="25"/>
        <v>0</v>
      </c>
    </row>
    <row r="321" spans="1:12" ht="18">
      <c r="A321" s="4" t="s">
        <v>49</v>
      </c>
      <c r="B321" s="4"/>
      <c r="C321" s="19">
        <f t="shared" ref="C321:H321" si="26">SUM(C303:C320)</f>
        <v>67129</v>
      </c>
      <c r="D321" s="19">
        <f t="shared" si="26"/>
        <v>61077</v>
      </c>
      <c r="E321" s="19">
        <f t="shared" si="26"/>
        <v>1114</v>
      </c>
      <c r="F321" s="19">
        <f t="shared" si="26"/>
        <v>982</v>
      </c>
      <c r="G321" s="19">
        <f t="shared" si="26"/>
        <v>61077</v>
      </c>
      <c r="H321" s="12">
        <f t="shared" si="26"/>
        <v>0</v>
      </c>
      <c r="I321" s="17">
        <f>AVERAGE(I303:I320)</f>
        <v>0.12727420957234623</v>
      </c>
      <c r="J321" s="17">
        <f>AVERAGE(J303:J320)</f>
        <v>0.13195925136223643</v>
      </c>
      <c r="K321" s="17">
        <f>AVERAGE(K303:K320)</f>
        <v>0.13104571377077462</v>
      </c>
      <c r="L321" s="17" t="e">
        <f>AVERAGE(L303:L320)</f>
        <v>#DIV/0!</v>
      </c>
    </row>
    <row r="322" spans="1:12" ht="59" customHeight="1"/>
    <row r="324" spans="1:12" ht="41" customHeight="1">
      <c r="A324" s="3" t="s">
        <v>163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36" customHeight="1"/>
    <row r="326" spans="1:12" ht="33" customHeight="1">
      <c r="A326" s="4" t="s">
        <v>140</v>
      </c>
      <c r="B326" s="4" t="s">
        <v>141</v>
      </c>
      <c r="C326" s="4" t="s">
        <v>10</v>
      </c>
      <c r="D326" s="4" t="s">
        <v>111</v>
      </c>
      <c r="E326" s="4" t="s">
        <v>112</v>
      </c>
      <c r="F326" s="4" t="s">
        <v>113</v>
      </c>
      <c r="G326" s="4" t="s">
        <v>103</v>
      </c>
      <c r="H326" s="4" t="s">
        <v>114</v>
      </c>
      <c r="I326" s="4" t="s">
        <v>115</v>
      </c>
    </row>
    <row r="327" spans="1:12">
      <c r="A327" s="5" t="s">
        <v>142</v>
      </c>
      <c r="B327" s="5" t="s">
        <v>143</v>
      </c>
      <c r="C327" s="6">
        <v>469</v>
      </c>
      <c r="D327" s="6">
        <v>420</v>
      </c>
      <c r="E327" s="6">
        <v>179</v>
      </c>
      <c r="F327" s="6">
        <v>176</v>
      </c>
      <c r="G327" s="6">
        <v>40</v>
      </c>
      <c r="H327" s="6">
        <v>176</v>
      </c>
      <c r="I327" s="6">
        <v>0</v>
      </c>
    </row>
    <row r="328" spans="1:12">
      <c r="A328" s="5" t="s">
        <v>142</v>
      </c>
      <c r="B328" s="5" t="s">
        <v>149</v>
      </c>
      <c r="C328" s="6">
        <v>2222</v>
      </c>
      <c r="D328" s="6">
        <v>1953</v>
      </c>
      <c r="E328" s="6">
        <v>520</v>
      </c>
      <c r="F328" s="6">
        <v>502</v>
      </c>
      <c r="G328" s="6">
        <v>192</v>
      </c>
      <c r="H328" s="6">
        <v>502</v>
      </c>
      <c r="I328" s="6">
        <v>0</v>
      </c>
    </row>
    <row r="329" spans="1:12">
      <c r="A329" s="5" t="s">
        <v>142</v>
      </c>
      <c r="B329" s="5" t="s">
        <v>150</v>
      </c>
      <c r="C329" s="6">
        <v>23</v>
      </c>
      <c r="D329" s="6">
        <v>21</v>
      </c>
      <c r="E329" s="6">
        <v>4</v>
      </c>
      <c r="F329" s="6">
        <v>4</v>
      </c>
      <c r="G329" s="6">
        <v>0</v>
      </c>
      <c r="H329" s="6">
        <v>4</v>
      </c>
      <c r="I329" s="6">
        <v>0</v>
      </c>
    </row>
    <row r="330" spans="1:12">
      <c r="A330" s="5" t="s">
        <v>144</v>
      </c>
      <c r="B330" s="5" t="s">
        <v>143</v>
      </c>
      <c r="C330" s="6">
        <v>1934</v>
      </c>
      <c r="D330" s="6">
        <v>1654</v>
      </c>
      <c r="E330" s="6">
        <v>1044</v>
      </c>
      <c r="F330" s="6">
        <v>1000</v>
      </c>
      <c r="G330" s="6">
        <v>150</v>
      </c>
      <c r="H330" s="6">
        <v>1000</v>
      </c>
      <c r="I330" s="6">
        <v>0</v>
      </c>
    </row>
    <row r="331" spans="1:12">
      <c r="A331" s="5" t="s">
        <v>144</v>
      </c>
      <c r="B331" s="5" t="s">
        <v>149</v>
      </c>
      <c r="C331" s="6">
        <v>5270</v>
      </c>
      <c r="D331" s="6">
        <v>4565</v>
      </c>
      <c r="E331" s="6">
        <v>2315</v>
      </c>
      <c r="F331" s="6">
        <v>2240</v>
      </c>
      <c r="G331" s="6">
        <v>485</v>
      </c>
      <c r="H331" s="6">
        <v>2240</v>
      </c>
      <c r="I331" s="6">
        <v>0</v>
      </c>
    </row>
    <row r="332" spans="1:12">
      <c r="A332" s="5" t="s">
        <v>144</v>
      </c>
      <c r="B332" s="5" t="s">
        <v>150</v>
      </c>
      <c r="C332" s="6">
        <v>115</v>
      </c>
      <c r="D332" s="6">
        <v>98</v>
      </c>
      <c r="E332" s="6">
        <v>54</v>
      </c>
      <c r="F332" s="6">
        <v>52</v>
      </c>
      <c r="G332" s="6">
        <v>8</v>
      </c>
      <c r="H332" s="6">
        <v>52</v>
      </c>
      <c r="I332" s="6">
        <v>0</v>
      </c>
    </row>
    <row r="333" spans="1:12">
      <c r="A333" s="5" t="s">
        <v>145</v>
      </c>
      <c r="B333" s="5" t="s">
        <v>143</v>
      </c>
      <c r="C333" s="6">
        <v>860</v>
      </c>
      <c r="D333" s="6">
        <v>729</v>
      </c>
      <c r="E333" s="6">
        <v>501</v>
      </c>
      <c r="F333" s="6">
        <v>476</v>
      </c>
      <c r="G333" s="6">
        <v>28</v>
      </c>
      <c r="H333" s="6">
        <v>476</v>
      </c>
      <c r="I333" s="6">
        <v>0</v>
      </c>
    </row>
    <row r="334" spans="1:12">
      <c r="A334" s="5" t="s">
        <v>145</v>
      </c>
      <c r="B334" s="5" t="s">
        <v>149</v>
      </c>
      <c r="C334" s="6">
        <v>2148</v>
      </c>
      <c r="D334" s="6">
        <v>1797</v>
      </c>
      <c r="E334" s="6">
        <v>1184</v>
      </c>
      <c r="F334" s="6">
        <v>1123</v>
      </c>
      <c r="G334" s="6">
        <v>145</v>
      </c>
      <c r="H334" s="6">
        <v>1123</v>
      </c>
      <c r="I334" s="6">
        <v>0</v>
      </c>
    </row>
    <row r="335" spans="1:12">
      <c r="A335" s="5" t="s">
        <v>145</v>
      </c>
      <c r="B335" s="5" t="s">
        <v>150</v>
      </c>
      <c r="C335" s="6">
        <v>102</v>
      </c>
      <c r="D335" s="6">
        <v>89</v>
      </c>
      <c r="E335" s="6">
        <v>64</v>
      </c>
      <c r="F335" s="6">
        <v>61</v>
      </c>
      <c r="G335" s="6">
        <v>5</v>
      </c>
      <c r="H335" s="6">
        <v>61</v>
      </c>
      <c r="I335" s="6">
        <v>0</v>
      </c>
    </row>
    <row r="336" spans="1:12">
      <c r="A336" s="5" t="s">
        <v>146</v>
      </c>
      <c r="B336" s="5" t="s">
        <v>143</v>
      </c>
      <c r="C336" s="6">
        <v>276</v>
      </c>
      <c r="D336" s="6">
        <v>234</v>
      </c>
      <c r="E336" s="6">
        <v>136</v>
      </c>
      <c r="F336" s="6">
        <v>129</v>
      </c>
      <c r="G336" s="6">
        <v>9</v>
      </c>
      <c r="H336" s="6">
        <v>129</v>
      </c>
      <c r="I336" s="6">
        <v>0</v>
      </c>
    </row>
    <row r="337" spans="1:9">
      <c r="A337" s="5" t="s">
        <v>146</v>
      </c>
      <c r="B337" s="5" t="s">
        <v>149</v>
      </c>
      <c r="C337" s="6">
        <v>527</v>
      </c>
      <c r="D337" s="6">
        <v>456</v>
      </c>
      <c r="E337" s="6">
        <v>299</v>
      </c>
      <c r="F337" s="6">
        <v>282</v>
      </c>
      <c r="G337" s="6">
        <v>20</v>
      </c>
      <c r="H337" s="6">
        <v>282</v>
      </c>
      <c r="I337" s="6">
        <v>0</v>
      </c>
    </row>
    <row r="338" spans="1:9">
      <c r="A338" s="5" t="s">
        <v>146</v>
      </c>
      <c r="B338" s="5" t="s">
        <v>150</v>
      </c>
      <c r="C338" s="6">
        <v>25</v>
      </c>
      <c r="D338" s="6">
        <v>21</v>
      </c>
      <c r="E338" s="6">
        <v>15</v>
      </c>
      <c r="F338" s="6">
        <v>14</v>
      </c>
      <c r="G338" s="6">
        <v>0</v>
      </c>
      <c r="H338" s="6">
        <v>14</v>
      </c>
      <c r="I338" s="6">
        <v>0</v>
      </c>
    </row>
    <row r="339" spans="1:9">
      <c r="A339" s="5" t="s">
        <v>147</v>
      </c>
      <c r="B339" s="5" t="s">
        <v>143</v>
      </c>
      <c r="C339" s="6">
        <v>123</v>
      </c>
      <c r="D339" s="6">
        <v>110</v>
      </c>
      <c r="E339" s="6">
        <v>72</v>
      </c>
      <c r="F339" s="6">
        <v>72</v>
      </c>
      <c r="G339" s="6">
        <v>0</v>
      </c>
      <c r="H339" s="6">
        <v>72</v>
      </c>
      <c r="I339" s="6">
        <v>0</v>
      </c>
    </row>
    <row r="340" spans="1:9">
      <c r="A340" s="5" t="s">
        <v>147</v>
      </c>
      <c r="B340" s="5" t="s">
        <v>149</v>
      </c>
      <c r="C340" s="6">
        <v>134</v>
      </c>
      <c r="D340" s="6">
        <v>123</v>
      </c>
      <c r="E340" s="6">
        <v>78</v>
      </c>
      <c r="F340" s="6">
        <v>76</v>
      </c>
      <c r="G340" s="6">
        <v>7</v>
      </c>
      <c r="H340" s="6">
        <v>76</v>
      </c>
      <c r="I340" s="6">
        <v>0</v>
      </c>
    </row>
    <row r="341" spans="1:9">
      <c r="A341" s="5" t="s">
        <v>147</v>
      </c>
      <c r="B341" s="5" t="s">
        <v>150</v>
      </c>
      <c r="C341" s="6">
        <v>12</v>
      </c>
      <c r="D341" s="6">
        <v>10</v>
      </c>
      <c r="E341" s="6">
        <v>7</v>
      </c>
      <c r="F341" s="6">
        <v>6</v>
      </c>
      <c r="G341" s="6">
        <v>0</v>
      </c>
      <c r="H341" s="6">
        <v>6</v>
      </c>
      <c r="I341" s="6">
        <v>0</v>
      </c>
    </row>
    <row r="342" spans="1:9">
      <c r="A342" s="5" t="s">
        <v>148</v>
      </c>
      <c r="B342" s="5" t="s">
        <v>143</v>
      </c>
      <c r="C342" s="6">
        <v>103</v>
      </c>
      <c r="D342" s="6">
        <v>94</v>
      </c>
      <c r="E342" s="6">
        <v>60</v>
      </c>
      <c r="F342" s="6">
        <v>59</v>
      </c>
      <c r="G342" s="6">
        <v>5</v>
      </c>
      <c r="H342" s="6">
        <v>59</v>
      </c>
      <c r="I342" s="6">
        <v>0</v>
      </c>
    </row>
    <row r="343" spans="1:9">
      <c r="A343" s="5" t="s">
        <v>148</v>
      </c>
      <c r="B343" s="5" t="s">
        <v>149</v>
      </c>
      <c r="C343" s="6">
        <v>184</v>
      </c>
      <c r="D343" s="6">
        <v>161</v>
      </c>
      <c r="E343" s="6">
        <v>73</v>
      </c>
      <c r="F343" s="6">
        <v>72</v>
      </c>
      <c r="G343" s="6">
        <v>19</v>
      </c>
      <c r="H343" s="6">
        <v>72</v>
      </c>
      <c r="I343" s="6">
        <v>0</v>
      </c>
    </row>
    <row r="344" spans="1:9">
      <c r="A344" s="5" t="s">
        <v>148</v>
      </c>
      <c r="B344" s="5" t="s">
        <v>150</v>
      </c>
      <c r="C344" s="6">
        <v>22</v>
      </c>
      <c r="D344" s="6">
        <v>20</v>
      </c>
      <c r="E344" s="6">
        <v>15</v>
      </c>
      <c r="F344" s="6">
        <v>15</v>
      </c>
      <c r="G344" s="6">
        <v>1</v>
      </c>
      <c r="H344" s="6">
        <v>15</v>
      </c>
      <c r="I344" s="6">
        <v>0</v>
      </c>
    </row>
    <row r="345" spans="1:9" ht="18">
      <c r="A345" s="4" t="s">
        <v>49</v>
      </c>
      <c r="B345" s="4"/>
      <c r="C345" s="10">
        <f t="shared" ref="C345:I345" si="27">SUM(C327:C344)</f>
        <v>14549</v>
      </c>
      <c r="D345" s="10">
        <f t="shared" si="27"/>
        <v>12555</v>
      </c>
      <c r="E345" s="10">
        <f t="shared" si="27"/>
        <v>6620</v>
      </c>
      <c r="F345" s="10">
        <f t="shared" si="27"/>
        <v>6359</v>
      </c>
      <c r="G345" s="10">
        <f t="shared" si="27"/>
        <v>1114</v>
      </c>
      <c r="H345" s="10">
        <f t="shared" si="27"/>
        <v>6359</v>
      </c>
      <c r="I345" s="10">
        <f t="shared" si="27"/>
        <v>0</v>
      </c>
    </row>
    <row r="346" spans="1:9" ht="59" customHeight="1"/>
    <row r="349" spans="1:9">
      <c r="A349" t="s">
        <v>133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J1:L1"/>
  </mergeCells>
  <pageMargins left="0.4" right="0.7" top="0.75" bottom="0.75" header="0.3" footer="0.3"/>
  <pageSetup paperSize="9" orientation="portrait"/>
  <headerFooter>
    <oddFooter>&amp;L&amp;BExport (od H3.0 DEMO)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G27"/>
  <sheetViews>
    <sheetView showGridLines="0" workbookViewId="0"/>
  </sheetViews>
  <sheetFormatPr baseColWidth="10" defaultColWidth="8.83203125" defaultRowHeight="15" x14ac:dyDescent="0"/>
  <cols>
    <col min="1" max="85" width="18" customWidth="1"/>
  </cols>
  <sheetData>
    <row r="1" spans="1:85" ht="49" customHeight="1">
      <c r="A1" s="1" t="s">
        <v>290</v>
      </c>
      <c r="J1" s="21"/>
      <c r="K1" s="22"/>
      <c r="L1" s="22"/>
    </row>
    <row r="2" spans="1:85" ht="15" customHeight="1">
      <c r="A2" t="s">
        <v>0</v>
      </c>
      <c r="C2" s="20" t="s">
        <v>291</v>
      </c>
    </row>
    <row r="3" spans="1:85" ht="15" customHeight="1">
      <c r="A3" t="s">
        <v>1</v>
      </c>
      <c r="C3" t="s">
        <v>2</v>
      </c>
      <c r="E3" s="2" t="s">
        <v>3</v>
      </c>
      <c r="F3">
        <v>26</v>
      </c>
    </row>
    <row r="4" spans="1:85" ht="15" customHeight="1"/>
    <row r="5" spans="1:85" ht="15" customHeight="1"/>
    <row r="6" spans="1:85" ht="41" customHeight="1">
      <c r="A6" s="3" t="s">
        <v>164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85" ht="36" customHeight="1"/>
    <row r="8" spans="1:85" ht="33" customHeight="1">
      <c r="A8" s="4" t="s">
        <v>5</v>
      </c>
      <c r="B8" s="4" t="s">
        <v>165</v>
      </c>
      <c r="C8" s="4" t="s">
        <v>140</v>
      </c>
      <c r="D8" s="4" t="s">
        <v>141</v>
      </c>
      <c r="E8" s="4" t="s">
        <v>8</v>
      </c>
      <c r="F8" s="4" t="s">
        <v>10</v>
      </c>
      <c r="G8" s="4" t="s">
        <v>166</v>
      </c>
      <c r="H8" s="4" t="s">
        <v>167</v>
      </c>
      <c r="I8" s="4" t="s">
        <v>168</v>
      </c>
      <c r="J8" s="4" t="s">
        <v>169</v>
      </c>
      <c r="K8" s="4" t="s">
        <v>170</v>
      </c>
      <c r="L8" s="4" t="s">
        <v>171</v>
      </c>
      <c r="M8" s="4" t="s">
        <v>172</v>
      </c>
      <c r="N8" s="4" t="s">
        <v>173</v>
      </c>
      <c r="O8" s="4" t="s">
        <v>174</v>
      </c>
      <c r="P8" s="4" t="s">
        <v>175</v>
      </c>
      <c r="Q8" s="4" t="s">
        <v>176</v>
      </c>
      <c r="R8" s="4" t="s">
        <v>177</v>
      </c>
      <c r="S8" s="4" t="s">
        <v>178</v>
      </c>
      <c r="T8" s="4" t="s">
        <v>179</v>
      </c>
      <c r="U8" s="4" t="s">
        <v>180</v>
      </c>
      <c r="V8" s="4" t="s">
        <v>181</v>
      </c>
      <c r="W8" s="4" t="s">
        <v>182</v>
      </c>
      <c r="X8" s="4" t="s">
        <v>183</v>
      </c>
      <c r="Y8" s="4" t="s">
        <v>184</v>
      </c>
      <c r="Z8" s="4" t="s">
        <v>185</v>
      </c>
      <c r="AA8" s="4" t="s">
        <v>186</v>
      </c>
      <c r="AB8" s="4" t="s">
        <v>187</v>
      </c>
      <c r="AC8" s="4" t="s">
        <v>188</v>
      </c>
      <c r="AD8" s="4" t="s">
        <v>189</v>
      </c>
      <c r="AE8" s="4" t="s">
        <v>190</v>
      </c>
      <c r="AF8" s="4" t="s">
        <v>191</v>
      </c>
      <c r="AG8" s="4" t="s">
        <v>192</v>
      </c>
      <c r="AH8" s="4" t="s">
        <v>193</v>
      </c>
      <c r="AI8" s="4" t="s">
        <v>194</v>
      </c>
      <c r="AJ8" s="4" t="s">
        <v>195</v>
      </c>
      <c r="AK8" s="4" t="s">
        <v>196</v>
      </c>
      <c r="AL8" s="4" t="s">
        <v>197</v>
      </c>
      <c r="AM8" s="4" t="s">
        <v>198</v>
      </c>
      <c r="AN8" s="4" t="s">
        <v>199</v>
      </c>
      <c r="AO8" s="4" t="s">
        <v>200</v>
      </c>
      <c r="AP8" s="4" t="s">
        <v>201</v>
      </c>
      <c r="AQ8" s="4" t="s">
        <v>202</v>
      </c>
      <c r="AR8" s="4" t="s">
        <v>203</v>
      </c>
      <c r="AS8" s="4" t="s">
        <v>204</v>
      </c>
      <c r="AT8" s="4" t="s">
        <v>205</v>
      </c>
      <c r="AU8" s="4" t="s">
        <v>206</v>
      </c>
      <c r="AV8" s="4" t="s">
        <v>207</v>
      </c>
      <c r="AW8" s="4" t="s">
        <v>208</v>
      </c>
      <c r="AX8" s="4" t="s">
        <v>209</v>
      </c>
      <c r="AY8" s="4" t="s">
        <v>210</v>
      </c>
      <c r="AZ8" s="4" t="s">
        <v>211</v>
      </c>
      <c r="BA8" s="4" t="s">
        <v>212</v>
      </c>
      <c r="BB8" s="4" t="s">
        <v>213</v>
      </c>
      <c r="BC8" s="4" t="s">
        <v>214</v>
      </c>
      <c r="BD8" s="4" t="s">
        <v>215</v>
      </c>
      <c r="BE8" s="4" t="s">
        <v>216</v>
      </c>
      <c r="BF8" s="4" t="s">
        <v>217</v>
      </c>
      <c r="BG8" s="4" t="s">
        <v>218</v>
      </c>
      <c r="BH8" s="4" t="s">
        <v>219</v>
      </c>
      <c r="BI8" s="4" t="s">
        <v>220</v>
      </c>
      <c r="BJ8" s="4" t="s">
        <v>221</v>
      </c>
      <c r="BK8" s="4" t="s">
        <v>222</v>
      </c>
      <c r="BL8" s="4" t="s">
        <v>223</v>
      </c>
      <c r="BM8" s="4" t="s">
        <v>224</v>
      </c>
      <c r="BN8" s="4" t="s">
        <v>225</v>
      </c>
      <c r="BO8" s="4" t="s">
        <v>226</v>
      </c>
      <c r="BP8" s="4" t="s">
        <v>227</v>
      </c>
      <c r="BQ8" s="4" t="s">
        <v>228</v>
      </c>
      <c r="BR8" s="4" t="s">
        <v>229</v>
      </c>
      <c r="BS8" s="4" t="s">
        <v>230</v>
      </c>
      <c r="BT8" s="4" t="s">
        <v>231</v>
      </c>
      <c r="BU8" s="4" t="s">
        <v>232</v>
      </c>
      <c r="BV8" s="4" t="s">
        <v>233</v>
      </c>
      <c r="BW8" s="4" t="s">
        <v>234</v>
      </c>
      <c r="BX8" s="4" t="s">
        <v>235</v>
      </c>
      <c r="BY8" s="4" t="s">
        <v>236</v>
      </c>
      <c r="BZ8" s="4" t="s">
        <v>237</v>
      </c>
      <c r="CA8" s="4" t="s">
        <v>238</v>
      </c>
      <c r="CB8" s="4" t="s">
        <v>239</v>
      </c>
      <c r="CC8" s="4" t="s">
        <v>240</v>
      </c>
      <c r="CD8" s="4" t="s">
        <v>241</v>
      </c>
      <c r="CE8" s="4" t="s">
        <v>242</v>
      </c>
      <c r="CF8" s="4" t="s">
        <v>243</v>
      </c>
      <c r="CG8" s="4" t="s">
        <v>244</v>
      </c>
    </row>
    <row r="9" spans="1:85">
      <c r="A9" s="5" t="s">
        <v>16</v>
      </c>
      <c r="B9" s="5" t="s">
        <v>294</v>
      </c>
      <c r="C9" s="5"/>
      <c r="D9" s="5"/>
      <c r="E9" s="5">
        <v>118</v>
      </c>
      <c r="F9" s="5">
        <v>0</v>
      </c>
      <c r="G9" s="5"/>
      <c r="H9" s="5">
        <v>1777101579168812</v>
      </c>
      <c r="I9" s="5"/>
      <c r="J9" s="5"/>
      <c r="K9" s="5"/>
      <c r="L9" s="5">
        <v>2.384258012811024E+16</v>
      </c>
      <c r="M9" s="5" t="s">
        <v>295</v>
      </c>
      <c r="N9" s="5">
        <v>2.384258012815024E+16</v>
      </c>
      <c r="O9" s="5" t="s">
        <v>296</v>
      </c>
      <c r="P9" s="5"/>
      <c r="Q9" s="5"/>
      <c r="R9" s="5"/>
      <c r="S9" s="5">
        <v>2.384256414009024E+16</v>
      </c>
      <c r="T9" s="5" t="s">
        <v>297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>
        <v>16.186440999999999</v>
      </c>
      <c r="AL9" s="5"/>
      <c r="AM9" s="5"/>
      <c r="AN9" s="5" t="s">
        <v>245</v>
      </c>
      <c r="AO9" s="5" t="s">
        <v>246</v>
      </c>
      <c r="AP9" s="5"/>
      <c r="AQ9" s="5"/>
      <c r="AR9" s="5">
        <v>1.053571</v>
      </c>
      <c r="AS9" s="5"/>
      <c r="AT9" s="5">
        <v>118</v>
      </c>
      <c r="AU9" s="5"/>
      <c r="AV9" s="5"/>
      <c r="AW9" s="5"/>
      <c r="AX9" s="5"/>
      <c r="AY9" s="5" t="s">
        <v>77</v>
      </c>
      <c r="AZ9" s="5"/>
      <c r="BA9" s="5"/>
      <c r="BB9" s="5"/>
      <c r="BC9" s="5">
        <v>112</v>
      </c>
      <c r="BD9" s="5"/>
      <c r="BE9" s="5"/>
      <c r="BF9" s="5">
        <v>4</v>
      </c>
      <c r="BG9" s="5">
        <v>4</v>
      </c>
      <c r="BH9" s="5">
        <v>0.03</v>
      </c>
      <c r="BI9" s="5">
        <v>1.91</v>
      </c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85">
      <c r="A10" s="5" t="s">
        <v>16</v>
      </c>
      <c r="B10" s="5" t="s">
        <v>294</v>
      </c>
      <c r="C10" s="5"/>
      <c r="D10" s="5"/>
      <c r="E10" s="5">
        <v>126</v>
      </c>
      <c r="F10" s="5">
        <v>0</v>
      </c>
      <c r="G10" s="5"/>
      <c r="H10" s="5">
        <v>1777101579168812</v>
      </c>
      <c r="I10" s="5"/>
      <c r="J10" s="5"/>
      <c r="K10" s="5"/>
      <c r="L10" s="5">
        <v>2.384258012819024E+16</v>
      </c>
      <c r="M10" s="5" t="s">
        <v>295</v>
      </c>
      <c r="N10" s="5">
        <v>2.384258012815024E+16</v>
      </c>
      <c r="O10" s="5" t="s">
        <v>296</v>
      </c>
      <c r="P10" s="5"/>
      <c r="Q10" s="5"/>
      <c r="R10" s="5"/>
      <c r="S10" s="5">
        <v>2.384256414009024E+16</v>
      </c>
      <c r="T10" s="5" t="s">
        <v>297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>
        <v>14.84127</v>
      </c>
      <c r="AL10" s="5"/>
      <c r="AM10" s="5"/>
      <c r="AN10" s="5" t="s">
        <v>245</v>
      </c>
      <c r="AO10" s="5" t="s">
        <v>246</v>
      </c>
      <c r="AP10" s="5"/>
      <c r="AQ10" s="5"/>
      <c r="AR10" s="5">
        <v>1.223301</v>
      </c>
      <c r="AS10" s="5"/>
      <c r="AT10" s="5">
        <v>126</v>
      </c>
      <c r="AU10" s="5"/>
      <c r="AV10" s="5"/>
      <c r="AW10" s="5"/>
      <c r="AX10" s="5"/>
      <c r="AY10" s="5" t="s">
        <v>77</v>
      </c>
      <c r="AZ10" s="5"/>
      <c r="BA10" s="5"/>
      <c r="BB10" s="5"/>
      <c r="BC10" s="5">
        <v>103</v>
      </c>
      <c r="BD10" s="5"/>
      <c r="BE10" s="5"/>
      <c r="BF10" s="5">
        <v>2</v>
      </c>
      <c r="BG10" s="5">
        <v>2</v>
      </c>
      <c r="BH10" s="5"/>
      <c r="BI10" s="5">
        <v>1.87</v>
      </c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</row>
    <row r="11" spans="1:85">
      <c r="A11" s="5" t="s">
        <v>16</v>
      </c>
      <c r="B11" s="5" t="s">
        <v>294</v>
      </c>
      <c r="C11" s="5"/>
      <c r="D11" s="5"/>
      <c r="E11" s="5">
        <v>117</v>
      </c>
      <c r="F11" s="5">
        <v>0</v>
      </c>
      <c r="G11" s="5"/>
      <c r="H11" s="5">
        <v>1777101579168812</v>
      </c>
      <c r="I11" s="5"/>
      <c r="J11" s="5"/>
      <c r="K11" s="5"/>
      <c r="L11" s="5">
        <v>2.384258012807024E+16</v>
      </c>
      <c r="M11" s="5" t="s">
        <v>295</v>
      </c>
      <c r="N11" s="5">
        <v>2.384258012815024E+16</v>
      </c>
      <c r="O11" s="5" t="s">
        <v>296</v>
      </c>
      <c r="P11" s="5"/>
      <c r="Q11" s="5"/>
      <c r="R11" s="5"/>
      <c r="S11" s="5">
        <v>2.384256414009024E+16</v>
      </c>
      <c r="T11" s="5" t="s">
        <v>297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>
        <v>11.196581</v>
      </c>
      <c r="AL11" s="5"/>
      <c r="AM11" s="5"/>
      <c r="AN11" s="5" t="s">
        <v>245</v>
      </c>
      <c r="AO11" s="5" t="s">
        <v>246</v>
      </c>
      <c r="AP11" s="5"/>
      <c r="AQ11" s="5"/>
      <c r="AR11" s="5">
        <v>1.1470590000000001</v>
      </c>
      <c r="AS11" s="5"/>
      <c r="AT11" s="5">
        <v>117</v>
      </c>
      <c r="AU11" s="5"/>
      <c r="AV11" s="5"/>
      <c r="AW11" s="5"/>
      <c r="AX11" s="5"/>
      <c r="AY11" s="5" t="s">
        <v>77</v>
      </c>
      <c r="AZ11" s="5"/>
      <c r="BA11" s="5"/>
      <c r="BB11" s="5"/>
      <c r="BC11" s="5">
        <v>102</v>
      </c>
      <c r="BD11" s="5"/>
      <c r="BE11" s="5"/>
      <c r="BF11" s="5">
        <v>5</v>
      </c>
      <c r="BG11" s="5">
        <v>4</v>
      </c>
      <c r="BH11" s="5">
        <v>0.04</v>
      </c>
      <c r="BI11" s="5">
        <v>1.31</v>
      </c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</row>
    <row r="12" spans="1:85">
      <c r="A12" s="5" t="s">
        <v>16</v>
      </c>
      <c r="B12" s="5" t="s">
        <v>294</v>
      </c>
      <c r="C12" s="5"/>
      <c r="D12" s="5"/>
      <c r="E12" s="5">
        <v>661</v>
      </c>
      <c r="F12" s="5">
        <v>5</v>
      </c>
      <c r="G12" s="5"/>
      <c r="H12" s="5">
        <v>1777101579168812</v>
      </c>
      <c r="I12" s="5"/>
      <c r="J12" s="5"/>
      <c r="K12" s="5"/>
      <c r="L12" s="5">
        <v>2.384258012797024E+16</v>
      </c>
      <c r="M12" s="5" t="s">
        <v>295</v>
      </c>
      <c r="N12" s="5">
        <v>2.384258012815024E+16</v>
      </c>
      <c r="O12" s="5" t="s">
        <v>296</v>
      </c>
      <c r="P12" s="5"/>
      <c r="Q12" s="5"/>
      <c r="R12" s="5"/>
      <c r="S12" s="5">
        <v>2.384256414009024E+16</v>
      </c>
      <c r="T12" s="5" t="s">
        <v>297</v>
      </c>
      <c r="U12" s="5"/>
      <c r="V12" s="5"/>
      <c r="W12" s="5"/>
      <c r="X12" s="5">
        <v>5</v>
      </c>
      <c r="Y12" s="5" t="s">
        <v>247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>
        <v>1.05</v>
      </c>
      <c r="AK12" s="5">
        <v>7.9425109999999997</v>
      </c>
      <c r="AL12" s="5"/>
      <c r="AM12" s="5"/>
      <c r="AN12" s="5" t="s">
        <v>245</v>
      </c>
      <c r="AO12" s="5" t="s">
        <v>246</v>
      </c>
      <c r="AP12" s="5"/>
      <c r="AQ12" s="5"/>
      <c r="AR12" s="5">
        <v>1.4338390000000001</v>
      </c>
      <c r="AS12" s="5"/>
      <c r="AT12" s="5">
        <v>661</v>
      </c>
      <c r="AU12" s="5"/>
      <c r="AV12" s="5">
        <v>1</v>
      </c>
      <c r="AW12" s="5">
        <v>4</v>
      </c>
      <c r="AX12" s="5"/>
      <c r="AY12" s="5" t="s">
        <v>77</v>
      </c>
      <c r="AZ12" s="5"/>
      <c r="BA12" s="5"/>
      <c r="BB12" s="5"/>
      <c r="BC12" s="5">
        <v>461</v>
      </c>
      <c r="BD12" s="5">
        <v>3</v>
      </c>
      <c r="BE12" s="5"/>
      <c r="BF12" s="5">
        <v>28</v>
      </c>
      <c r="BG12" s="5">
        <v>17</v>
      </c>
      <c r="BH12" s="5">
        <v>0.22</v>
      </c>
      <c r="BI12" s="5">
        <v>5.25</v>
      </c>
      <c r="BJ12" s="5"/>
      <c r="BK12" s="5">
        <v>147</v>
      </c>
      <c r="BL12" s="5">
        <v>131</v>
      </c>
      <c r="BM12" s="5" t="s">
        <v>248</v>
      </c>
      <c r="BN12" s="5">
        <v>5</v>
      </c>
      <c r="BO12" s="5"/>
      <c r="BP12" s="5"/>
      <c r="BQ12" s="5">
        <v>1</v>
      </c>
      <c r="BR12" s="5"/>
      <c r="BS12" s="5"/>
      <c r="BT12" s="5"/>
      <c r="BU12" s="5"/>
      <c r="BV12" s="5" t="s">
        <v>249</v>
      </c>
      <c r="BW12" s="5" t="s">
        <v>250</v>
      </c>
      <c r="BX12" s="5" t="s">
        <v>250</v>
      </c>
      <c r="BY12" s="5" t="s">
        <v>251</v>
      </c>
      <c r="BZ12" s="5" t="s">
        <v>252</v>
      </c>
      <c r="CA12" s="5" t="s">
        <v>253</v>
      </c>
      <c r="CB12" s="5" t="s">
        <v>254</v>
      </c>
      <c r="CC12" s="5" t="s">
        <v>255</v>
      </c>
      <c r="CD12" s="5" t="s">
        <v>256</v>
      </c>
      <c r="CE12" s="5" t="s">
        <v>257</v>
      </c>
      <c r="CF12" s="5"/>
      <c r="CG12" s="5"/>
    </row>
    <row r="13" spans="1:85">
      <c r="A13" s="5" t="s">
        <v>16</v>
      </c>
      <c r="B13" s="5" t="s">
        <v>294</v>
      </c>
      <c r="C13" s="5"/>
      <c r="D13" s="5"/>
      <c r="E13" s="5">
        <v>221</v>
      </c>
      <c r="F13" s="5">
        <v>0</v>
      </c>
      <c r="G13" s="5"/>
      <c r="H13" s="5">
        <v>1777101579168812</v>
      </c>
      <c r="I13" s="5"/>
      <c r="J13" s="5"/>
      <c r="K13" s="5"/>
      <c r="L13" s="5">
        <v>2.384258356494024E+16</v>
      </c>
      <c r="M13" s="5" t="s">
        <v>295</v>
      </c>
      <c r="N13" s="5">
        <v>2.384258012815024E+16</v>
      </c>
      <c r="O13" s="5" t="s">
        <v>296</v>
      </c>
      <c r="P13" s="5"/>
      <c r="Q13" s="5"/>
      <c r="R13" s="5"/>
      <c r="S13" s="5">
        <v>2.384256414009024E+16</v>
      </c>
      <c r="T13" s="5" t="s">
        <v>297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>
        <v>12.941176</v>
      </c>
      <c r="AL13" s="5"/>
      <c r="AM13" s="5"/>
      <c r="AN13" s="5" t="s">
        <v>245</v>
      </c>
      <c r="AO13" s="5" t="s">
        <v>246</v>
      </c>
      <c r="AP13" s="5"/>
      <c r="AQ13" s="5"/>
      <c r="AR13" s="5">
        <v>1.0137609999999999</v>
      </c>
      <c r="AS13" s="5"/>
      <c r="AT13" s="5">
        <v>221</v>
      </c>
      <c r="AU13" s="5"/>
      <c r="AV13" s="5"/>
      <c r="AW13" s="5"/>
      <c r="AX13" s="5"/>
      <c r="AY13" s="5" t="s">
        <v>77</v>
      </c>
      <c r="AZ13" s="5"/>
      <c r="BA13" s="5"/>
      <c r="BB13" s="5"/>
      <c r="BC13" s="5">
        <v>218</v>
      </c>
      <c r="BD13" s="5"/>
      <c r="BE13" s="5"/>
      <c r="BF13" s="5">
        <v>8</v>
      </c>
      <c r="BG13" s="5">
        <v>8</v>
      </c>
      <c r="BH13" s="5">
        <v>0.08</v>
      </c>
      <c r="BI13" s="5">
        <v>2.86</v>
      </c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</row>
    <row r="14" spans="1:85">
      <c r="A14" s="5" t="s">
        <v>16</v>
      </c>
      <c r="B14" s="5" t="s">
        <v>294</v>
      </c>
      <c r="C14" s="5"/>
      <c r="D14" s="5"/>
      <c r="E14" s="5">
        <v>3225</v>
      </c>
      <c r="F14" s="5">
        <v>28</v>
      </c>
      <c r="G14" s="5"/>
      <c r="H14" s="5">
        <v>1777101579168812</v>
      </c>
      <c r="I14" s="5"/>
      <c r="J14" s="5"/>
      <c r="K14" s="5"/>
      <c r="L14" s="5">
        <v>2.384259370176024E+16</v>
      </c>
      <c r="M14" s="5" t="s">
        <v>295</v>
      </c>
      <c r="N14" s="5">
        <v>2.384258012815024E+16</v>
      </c>
      <c r="O14" s="5" t="s">
        <v>296</v>
      </c>
      <c r="P14" s="5"/>
      <c r="Q14" s="5"/>
      <c r="R14" s="5"/>
      <c r="S14" s="5">
        <v>2.384256414009024E+16</v>
      </c>
      <c r="T14" s="5" t="s">
        <v>297</v>
      </c>
      <c r="U14" s="5"/>
      <c r="V14" s="5"/>
      <c r="W14" s="5"/>
      <c r="X14" s="5">
        <v>28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>
        <v>1.3521430000000001</v>
      </c>
      <c r="AK14" s="5">
        <v>11.739535</v>
      </c>
      <c r="AL14" s="5"/>
      <c r="AM14" s="5"/>
      <c r="AN14" s="5" t="s">
        <v>245</v>
      </c>
      <c r="AO14" s="5" t="s">
        <v>246</v>
      </c>
      <c r="AP14" s="5"/>
      <c r="AQ14" s="5"/>
      <c r="AR14" s="5">
        <v>1.1895979999999999</v>
      </c>
      <c r="AS14" s="5"/>
      <c r="AT14" s="5">
        <v>3225</v>
      </c>
      <c r="AU14" s="5"/>
      <c r="AV14" s="5">
        <v>19</v>
      </c>
      <c r="AW14" s="5">
        <v>19</v>
      </c>
      <c r="AX14" s="5"/>
      <c r="AY14" s="5" t="s">
        <v>77</v>
      </c>
      <c r="AZ14" s="5"/>
      <c r="BA14" s="5"/>
      <c r="BB14" s="5"/>
      <c r="BC14" s="5">
        <v>2711</v>
      </c>
      <c r="BD14" s="5">
        <v>5</v>
      </c>
      <c r="BE14" s="5"/>
      <c r="BF14" s="5">
        <v>96</v>
      </c>
      <c r="BG14" s="5">
        <v>75</v>
      </c>
      <c r="BH14" s="5">
        <v>1.02</v>
      </c>
      <c r="BI14" s="5">
        <v>37.86</v>
      </c>
      <c r="BJ14" s="5">
        <v>32.42</v>
      </c>
      <c r="BK14" s="5">
        <v>28</v>
      </c>
      <c r="BL14" s="5">
        <v>21</v>
      </c>
      <c r="BM14" s="5" t="s">
        <v>258</v>
      </c>
      <c r="BN14" s="5">
        <v>24</v>
      </c>
      <c r="BO14" s="5"/>
      <c r="BP14" s="5"/>
      <c r="BQ14" s="5">
        <v>17</v>
      </c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</row>
    <row r="15" spans="1:85">
      <c r="A15" s="5" t="s">
        <v>16</v>
      </c>
      <c r="B15" s="5" t="s">
        <v>294</v>
      </c>
      <c r="C15" s="5"/>
      <c r="D15" s="5"/>
      <c r="E15" s="5">
        <v>117</v>
      </c>
      <c r="F15" s="5">
        <v>0</v>
      </c>
      <c r="G15" s="5"/>
      <c r="H15" s="5">
        <v>1777101579168812</v>
      </c>
      <c r="I15" s="5"/>
      <c r="J15" s="5"/>
      <c r="K15" s="5"/>
      <c r="L15" s="5">
        <v>2.384258012800024E+16</v>
      </c>
      <c r="M15" s="5" t="s">
        <v>295</v>
      </c>
      <c r="N15" s="5">
        <v>2.384258012815024E+16</v>
      </c>
      <c r="O15" s="5" t="s">
        <v>296</v>
      </c>
      <c r="P15" s="5"/>
      <c r="Q15" s="5"/>
      <c r="R15" s="5"/>
      <c r="S15" s="5">
        <v>2.384256414009024E+16</v>
      </c>
      <c r="T15" s="5" t="s">
        <v>297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>
        <v>17.008547</v>
      </c>
      <c r="AL15" s="5"/>
      <c r="AM15" s="5"/>
      <c r="AN15" s="5" t="s">
        <v>245</v>
      </c>
      <c r="AO15" s="5" t="s">
        <v>246</v>
      </c>
      <c r="AP15" s="5"/>
      <c r="AQ15" s="5"/>
      <c r="AR15" s="5">
        <v>1.1142860000000001</v>
      </c>
      <c r="AS15" s="5"/>
      <c r="AT15" s="5">
        <v>117</v>
      </c>
      <c r="AU15" s="5"/>
      <c r="AV15" s="5"/>
      <c r="AW15" s="5"/>
      <c r="AX15" s="5"/>
      <c r="AY15" s="5" t="s">
        <v>77</v>
      </c>
      <c r="AZ15" s="5"/>
      <c r="BA15" s="5"/>
      <c r="BB15" s="5"/>
      <c r="BC15" s="5">
        <v>105</v>
      </c>
      <c r="BD15" s="5"/>
      <c r="BE15" s="5"/>
      <c r="BF15" s="5">
        <v>6</v>
      </c>
      <c r="BG15" s="5">
        <v>6</v>
      </c>
      <c r="BH15" s="5">
        <v>7.0000000000000007E-2</v>
      </c>
      <c r="BI15" s="5">
        <v>1.99</v>
      </c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</row>
    <row r="16" spans="1:85">
      <c r="A16" s="5" t="s">
        <v>16</v>
      </c>
      <c r="B16" s="5" t="s">
        <v>294</v>
      </c>
      <c r="C16" s="5"/>
      <c r="D16" s="5"/>
      <c r="E16" s="5">
        <v>1742</v>
      </c>
      <c r="F16" s="5">
        <v>26</v>
      </c>
      <c r="G16" s="5"/>
      <c r="H16" s="5">
        <v>1777101579168812</v>
      </c>
      <c r="I16" s="5"/>
      <c r="J16" s="5"/>
      <c r="K16" s="5"/>
      <c r="L16" s="5">
        <v>2.384258884452024E+16</v>
      </c>
      <c r="M16" s="5" t="s">
        <v>295</v>
      </c>
      <c r="N16" s="5">
        <v>2.384258012815024E+16</v>
      </c>
      <c r="O16" s="5" t="s">
        <v>296</v>
      </c>
      <c r="P16" s="5"/>
      <c r="Q16" s="5"/>
      <c r="R16" s="5"/>
      <c r="S16" s="5">
        <v>2.384256414009024E+16</v>
      </c>
      <c r="T16" s="5" t="s">
        <v>297</v>
      </c>
      <c r="U16" s="5"/>
      <c r="V16" s="5"/>
      <c r="W16" s="5"/>
      <c r="X16" s="5">
        <v>26</v>
      </c>
      <c r="Y16" s="5" t="s">
        <v>259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0.81692299999999995</v>
      </c>
      <c r="AK16" s="5">
        <v>12.192882000000001</v>
      </c>
      <c r="AL16" s="5"/>
      <c r="AM16" s="5"/>
      <c r="AN16" s="5" t="s">
        <v>245</v>
      </c>
      <c r="AO16" s="5" t="s">
        <v>246</v>
      </c>
      <c r="AP16" s="5"/>
      <c r="AQ16" s="5"/>
      <c r="AR16" s="5">
        <v>1.1636610000000001</v>
      </c>
      <c r="AS16" s="5"/>
      <c r="AT16" s="5">
        <v>1742</v>
      </c>
      <c r="AU16" s="5"/>
      <c r="AV16" s="5">
        <v>3</v>
      </c>
      <c r="AW16" s="5">
        <v>27</v>
      </c>
      <c r="AX16" s="5"/>
      <c r="AY16" s="5" t="s">
        <v>77</v>
      </c>
      <c r="AZ16" s="5"/>
      <c r="BA16" s="5"/>
      <c r="BB16" s="5"/>
      <c r="BC16" s="5">
        <v>1497</v>
      </c>
      <c r="BD16" s="5">
        <v>7</v>
      </c>
      <c r="BE16" s="5">
        <v>1</v>
      </c>
      <c r="BF16" s="5">
        <v>47</v>
      </c>
      <c r="BG16" s="5">
        <v>38</v>
      </c>
      <c r="BH16" s="5">
        <v>0.79</v>
      </c>
      <c r="BI16" s="5">
        <v>21.24</v>
      </c>
      <c r="BJ16" s="5"/>
      <c r="BK16" s="5">
        <v>441</v>
      </c>
      <c r="BL16" s="5">
        <v>412</v>
      </c>
      <c r="BM16" s="5" t="s">
        <v>260</v>
      </c>
      <c r="BN16" s="5">
        <v>23</v>
      </c>
      <c r="BO16" s="5"/>
      <c r="BP16" s="5"/>
      <c r="BQ16" s="5">
        <v>3</v>
      </c>
      <c r="BR16" s="5"/>
      <c r="BS16" s="5"/>
      <c r="BT16" s="5"/>
      <c r="BU16" s="5">
        <v>1</v>
      </c>
      <c r="BV16" s="5" t="s">
        <v>261</v>
      </c>
      <c r="BW16" s="5" t="s">
        <v>262</v>
      </c>
      <c r="BX16" s="5" t="s">
        <v>263</v>
      </c>
      <c r="BY16" s="5" t="s">
        <v>264</v>
      </c>
      <c r="BZ16" s="5" t="s">
        <v>265</v>
      </c>
      <c r="CA16" s="5" t="s">
        <v>266</v>
      </c>
      <c r="CB16" s="5" t="s">
        <v>267</v>
      </c>
      <c r="CC16" s="5" t="s">
        <v>268</v>
      </c>
      <c r="CD16" s="5" t="s">
        <v>269</v>
      </c>
      <c r="CE16" s="5" t="s">
        <v>263</v>
      </c>
      <c r="CF16" s="5"/>
      <c r="CG16" s="5"/>
    </row>
    <row r="17" spans="1:85">
      <c r="A17" s="5" t="s">
        <v>16</v>
      </c>
      <c r="B17" s="5" t="s">
        <v>294</v>
      </c>
      <c r="C17" s="5"/>
      <c r="D17" s="5"/>
      <c r="E17" s="5">
        <v>330</v>
      </c>
      <c r="F17" s="5">
        <v>1</v>
      </c>
      <c r="G17" s="5"/>
      <c r="H17" s="5">
        <v>1777101579168812</v>
      </c>
      <c r="I17" s="5"/>
      <c r="J17" s="5"/>
      <c r="K17" s="5"/>
      <c r="L17" s="5">
        <v>2.384258012809024E+16</v>
      </c>
      <c r="M17" s="5" t="s">
        <v>295</v>
      </c>
      <c r="N17" s="5">
        <v>2.384258012815024E+16</v>
      </c>
      <c r="O17" s="5" t="s">
        <v>296</v>
      </c>
      <c r="P17" s="5"/>
      <c r="Q17" s="5"/>
      <c r="R17" s="5"/>
      <c r="S17" s="5">
        <v>2.384256414009024E+16</v>
      </c>
      <c r="T17" s="5" t="s">
        <v>297</v>
      </c>
      <c r="U17" s="5"/>
      <c r="V17" s="5"/>
      <c r="W17" s="5"/>
      <c r="X17" s="5">
        <v>1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>
        <v>3.62</v>
      </c>
      <c r="AK17" s="5">
        <v>10.969697</v>
      </c>
      <c r="AL17" s="5"/>
      <c r="AM17" s="5"/>
      <c r="AN17" s="5" t="s">
        <v>245</v>
      </c>
      <c r="AO17" s="5" t="s">
        <v>246</v>
      </c>
      <c r="AP17" s="5"/>
      <c r="AQ17" s="5"/>
      <c r="AR17" s="5">
        <v>1.0927150000000001</v>
      </c>
      <c r="AS17" s="5"/>
      <c r="AT17" s="5">
        <v>330</v>
      </c>
      <c r="AU17" s="5"/>
      <c r="AV17" s="5">
        <v>1</v>
      </c>
      <c r="AW17" s="5">
        <v>1</v>
      </c>
      <c r="AX17" s="5"/>
      <c r="AY17" s="5" t="s">
        <v>77</v>
      </c>
      <c r="AZ17" s="5"/>
      <c r="BA17" s="5"/>
      <c r="BB17" s="5"/>
      <c r="BC17" s="5">
        <v>302</v>
      </c>
      <c r="BD17" s="5"/>
      <c r="BE17" s="5"/>
      <c r="BF17" s="5">
        <v>18</v>
      </c>
      <c r="BG17" s="5">
        <v>18</v>
      </c>
      <c r="BH17" s="5">
        <v>0.16</v>
      </c>
      <c r="BI17" s="5">
        <v>3.62</v>
      </c>
      <c r="BJ17" s="5"/>
      <c r="BK17" s="5">
        <v>1</v>
      </c>
      <c r="BL17" s="5">
        <v>1</v>
      </c>
      <c r="BM17" s="5" t="s">
        <v>270</v>
      </c>
      <c r="BN17" s="5">
        <v>1</v>
      </c>
      <c r="BO17" s="5"/>
      <c r="BP17" s="5"/>
      <c r="BQ17" s="5">
        <v>1</v>
      </c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</row>
    <row r="18" spans="1:85">
      <c r="A18" s="5" t="s">
        <v>16</v>
      </c>
      <c r="B18" s="5" t="s">
        <v>294</v>
      </c>
      <c r="C18" s="5"/>
      <c r="D18" s="5"/>
      <c r="E18" s="5">
        <v>234</v>
      </c>
      <c r="F18" s="5">
        <v>0</v>
      </c>
      <c r="G18" s="5"/>
      <c r="H18" s="5">
        <v>1777101579168812</v>
      </c>
      <c r="I18" s="5"/>
      <c r="J18" s="5"/>
      <c r="K18" s="5"/>
      <c r="L18" s="5">
        <v>2.384258012820024E+16</v>
      </c>
      <c r="M18" s="5" t="s">
        <v>295</v>
      </c>
      <c r="N18" s="5">
        <v>2.384258012815024E+16</v>
      </c>
      <c r="O18" s="5" t="s">
        <v>296</v>
      </c>
      <c r="P18" s="5"/>
      <c r="Q18" s="5"/>
      <c r="R18" s="5"/>
      <c r="S18" s="5">
        <v>2.384256414009024E+16</v>
      </c>
      <c r="T18" s="5" t="s">
        <v>297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>
        <v>11.623932</v>
      </c>
      <c r="AL18" s="5"/>
      <c r="AM18" s="5"/>
      <c r="AN18" s="5" t="s">
        <v>245</v>
      </c>
      <c r="AO18" s="5" t="s">
        <v>246</v>
      </c>
      <c r="AP18" s="5"/>
      <c r="AQ18" s="5"/>
      <c r="AR18" s="5">
        <v>1.063636</v>
      </c>
      <c r="AS18" s="5"/>
      <c r="AT18" s="5">
        <v>234</v>
      </c>
      <c r="AU18" s="5"/>
      <c r="AV18" s="5"/>
      <c r="AW18" s="5"/>
      <c r="AX18" s="5"/>
      <c r="AY18" s="5" t="s">
        <v>77</v>
      </c>
      <c r="AZ18" s="5"/>
      <c r="BA18" s="5"/>
      <c r="BB18" s="5"/>
      <c r="BC18" s="5">
        <v>220</v>
      </c>
      <c r="BD18" s="5"/>
      <c r="BE18" s="5"/>
      <c r="BF18" s="5">
        <v>7</v>
      </c>
      <c r="BG18" s="5">
        <v>7</v>
      </c>
      <c r="BH18" s="5">
        <v>0.06</v>
      </c>
      <c r="BI18" s="5">
        <v>2.72</v>
      </c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</row>
    <row r="19" spans="1:85">
      <c r="A19" s="5" t="s">
        <v>16</v>
      </c>
      <c r="B19" s="5" t="s">
        <v>294</v>
      </c>
      <c r="C19" s="5"/>
      <c r="D19" s="5"/>
      <c r="E19" s="5">
        <v>445</v>
      </c>
      <c r="F19" s="5">
        <v>3</v>
      </c>
      <c r="G19" s="5"/>
      <c r="H19" s="5">
        <v>1777101579168812</v>
      </c>
      <c r="I19" s="5"/>
      <c r="J19" s="5"/>
      <c r="K19" s="5"/>
      <c r="L19" s="5">
        <v>2.384258883971024E+16</v>
      </c>
      <c r="M19" s="5" t="s">
        <v>295</v>
      </c>
      <c r="N19" s="5">
        <v>2.384258012815024E+16</v>
      </c>
      <c r="O19" s="5" t="s">
        <v>296</v>
      </c>
      <c r="P19" s="5"/>
      <c r="Q19" s="5"/>
      <c r="R19" s="5"/>
      <c r="S19" s="5">
        <v>2.384256414009024E+16</v>
      </c>
      <c r="T19" s="5" t="s">
        <v>297</v>
      </c>
      <c r="U19" s="5"/>
      <c r="V19" s="5"/>
      <c r="W19" s="5"/>
      <c r="X19" s="5">
        <v>3</v>
      </c>
      <c r="Y19" s="5" t="s">
        <v>271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>
        <v>1.483333</v>
      </c>
      <c r="AK19" s="5">
        <v>10</v>
      </c>
      <c r="AL19" s="5"/>
      <c r="AM19" s="5"/>
      <c r="AN19" s="5" t="s">
        <v>245</v>
      </c>
      <c r="AO19" s="5" t="s">
        <v>246</v>
      </c>
      <c r="AP19" s="5"/>
      <c r="AQ19" s="5"/>
      <c r="AR19" s="5">
        <v>1.1469069999999999</v>
      </c>
      <c r="AS19" s="5"/>
      <c r="AT19" s="5">
        <v>445</v>
      </c>
      <c r="AU19" s="5"/>
      <c r="AV19" s="5"/>
      <c r="AW19" s="5">
        <v>2</v>
      </c>
      <c r="AX19" s="5"/>
      <c r="AY19" s="5" t="s">
        <v>77</v>
      </c>
      <c r="AZ19" s="5"/>
      <c r="BA19" s="5"/>
      <c r="BB19" s="5"/>
      <c r="BC19" s="5">
        <v>388</v>
      </c>
      <c r="BD19" s="5"/>
      <c r="BE19" s="5"/>
      <c r="BF19" s="5">
        <v>12</v>
      </c>
      <c r="BG19" s="5">
        <v>11</v>
      </c>
      <c r="BH19" s="5">
        <v>0.1</v>
      </c>
      <c r="BI19" s="5">
        <v>4.45</v>
      </c>
      <c r="BJ19" s="5"/>
      <c r="BK19" s="5">
        <v>57</v>
      </c>
      <c r="BL19" s="5">
        <v>55</v>
      </c>
      <c r="BM19" s="5" t="s">
        <v>272</v>
      </c>
      <c r="BN19" s="5">
        <v>3</v>
      </c>
      <c r="BO19" s="5"/>
      <c r="BP19" s="5"/>
      <c r="BQ19" s="5"/>
      <c r="BR19" s="5"/>
      <c r="BS19" s="5"/>
      <c r="BT19" s="5"/>
      <c r="BU19" s="5"/>
      <c r="BV19" s="5" t="s">
        <v>273</v>
      </c>
      <c r="BW19" s="5" t="s">
        <v>274</v>
      </c>
      <c r="BX19" s="5" t="s">
        <v>274</v>
      </c>
      <c r="BY19" s="5" t="s">
        <v>275</v>
      </c>
      <c r="BZ19" s="5" t="s">
        <v>276</v>
      </c>
      <c r="CA19" s="5" t="s">
        <v>277</v>
      </c>
      <c r="CB19" s="5" t="s">
        <v>278</v>
      </c>
      <c r="CC19" s="5" t="s">
        <v>279</v>
      </c>
      <c r="CD19" s="5" t="s">
        <v>280</v>
      </c>
      <c r="CE19" s="5" t="s">
        <v>281</v>
      </c>
      <c r="CF19" s="5"/>
      <c r="CG19" s="5"/>
    </row>
    <row r="20" spans="1:85">
      <c r="A20" s="5" t="s">
        <v>16</v>
      </c>
      <c r="B20" s="5" t="s">
        <v>294</v>
      </c>
      <c r="C20" s="5"/>
      <c r="D20" s="5"/>
      <c r="E20" s="5">
        <v>1118</v>
      </c>
      <c r="F20" s="5">
        <v>11</v>
      </c>
      <c r="G20" s="5"/>
      <c r="H20" s="5">
        <v>1777101579168812</v>
      </c>
      <c r="I20" s="5"/>
      <c r="J20" s="5"/>
      <c r="K20" s="5"/>
      <c r="L20" s="5">
        <v>2.384258012806024E+16</v>
      </c>
      <c r="M20" s="5" t="s">
        <v>295</v>
      </c>
      <c r="N20" s="5">
        <v>2.384258012815024E+16</v>
      </c>
      <c r="O20" s="5" t="s">
        <v>296</v>
      </c>
      <c r="P20" s="5"/>
      <c r="Q20" s="5"/>
      <c r="R20" s="5"/>
      <c r="S20" s="5">
        <v>2.384256414009024E+16</v>
      </c>
      <c r="T20" s="5" t="s">
        <v>297</v>
      </c>
      <c r="U20" s="5"/>
      <c r="V20" s="5"/>
      <c r="W20" s="5"/>
      <c r="X20" s="5">
        <v>11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>
        <v>1.207273</v>
      </c>
      <c r="AK20" s="5">
        <v>11.878354</v>
      </c>
      <c r="AL20" s="5"/>
      <c r="AM20" s="5"/>
      <c r="AN20" s="5" t="s">
        <v>245</v>
      </c>
      <c r="AO20" s="5" t="s">
        <v>246</v>
      </c>
      <c r="AP20" s="5"/>
      <c r="AQ20" s="5"/>
      <c r="AR20" s="5">
        <v>1.3667480000000001</v>
      </c>
      <c r="AS20" s="5"/>
      <c r="AT20" s="5">
        <v>1118</v>
      </c>
      <c r="AU20" s="5"/>
      <c r="AV20" s="5">
        <v>8</v>
      </c>
      <c r="AW20" s="5">
        <v>11</v>
      </c>
      <c r="AX20" s="5"/>
      <c r="AY20" s="5" t="s">
        <v>77</v>
      </c>
      <c r="AZ20" s="5"/>
      <c r="BA20" s="5"/>
      <c r="BB20" s="5"/>
      <c r="BC20" s="5">
        <v>818</v>
      </c>
      <c r="BD20" s="5">
        <v>5</v>
      </c>
      <c r="BE20" s="5"/>
      <c r="BF20" s="5">
        <v>41</v>
      </c>
      <c r="BG20" s="5">
        <v>25</v>
      </c>
      <c r="BH20" s="5">
        <v>0.41</v>
      </c>
      <c r="BI20" s="5">
        <v>13.28</v>
      </c>
      <c r="BJ20" s="5"/>
      <c r="BK20" s="5">
        <v>11</v>
      </c>
      <c r="BL20" s="5">
        <v>8</v>
      </c>
      <c r="BM20" s="5" t="s">
        <v>282</v>
      </c>
      <c r="BN20" s="5">
        <v>8</v>
      </c>
      <c r="BO20" s="5"/>
      <c r="BP20" s="5"/>
      <c r="BQ20" s="5">
        <v>5</v>
      </c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</row>
    <row r="21" spans="1:85">
      <c r="A21" s="5" t="s">
        <v>16</v>
      </c>
      <c r="B21" s="5" t="s">
        <v>294</v>
      </c>
      <c r="C21" s="5"/>
      <c r="D21" s="5"/>
      <c r="E21" s="5">
        <v>394</v>
      </c>
      <c r="F21" s="5">
        <v>2</v>
      </c>
      <c r="G21" s="5"/>
      <c r="H21" s="5">
        <v>1777101579168812</v>
      </c>
      <c r="I21" s="5"/>
      <c r="J21" s="5"/>
      <c r="K21" s="5"/>
      <c r="L21" s="5">
        <v>2.384258012813024E+16</v>
      </c>
      <c r="M21" s="5" t="s">
        <v>295</v>
      </c>
      <c r="N21" s="5">
        <v>2.384258012815024E+16</v>
      </c>
      <c r="O21" s="5" t="s">
        <v>296</v>
      </c>
      <c r="P21" s="5"/>
      <c r="Q21" s="5"/>
      <c r="R21" s="5"/>
      <c r="S21" s="5">
        <v>2.384256414009024E+16</v>
      </c>
      <c r="T21" s="5" t="s">
        <v>297</v>
      </c>
      <c r="U21" s="5"/>
      <c r="V21" s="5"/>
      <c r="W21" s="5"/>
      <c r="X21" s="5">
        <v>2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2.085</v>
      </c>
      <c r="AK21" s="5">
        <v>10.583755999999999</v>
      </c>
      <c r="AL21" s="5"/>
      <c r="AM21" s="5"/>
      <c r="AN21" s="5" t="s">
        <v>245</v>
      </c>
      <c r="AO21" s="5" t="s">
        <v>246</v>
      </c>
      <c r="AP21" s="5"/>
      <c r="AQ21" s="5"/>
      <c r="AR21" s="5">
        <v>1.1486879999999999</v>
      </c>
      <c r="AS21" s="5"/>
      <c r="AT21" s="5">
        <v>394</v>
      </c>
      <c r="AU21" s="5"/>
      <c r="AV21" s="5">
        <v>1</v>
      </c>
      <c r="AW21" s="5">
        <v>2</v>
      </c>
      <c r="AX21" s="5"/>
      <c r="AY21" s="5" t="s">
        <v>77</v>
      </c>
      <c r="AZ21" s="5"/>
      <c r="BA21" s="5"/>
      <c r="BB21" s="5"/>
      <c r="BC21" s="5">
        <v>343</v>
      </c>
      <c r="BD21" s="5"/>
      <c r="BE21" s="5"/>
      <c r="BF21" s="5">
        <v>12</v>
      </c>
      <c r="BG21" s="5">
        <v>10</v>
      </c>
      <c r="BH21" s="5">
        <v>0.03</v>
      </c>
      <c r="BI21" s="5">
        <v>4.17</v>
      </c>
      <c r="BJ21" s="5"/>
      <c r="BK21" s="5">
        <v>3</v>
      </c>
      <c r="BL21" s="5">
        <v>3</v>
      </c>
      <c r="BM21" s="5" t="s">
        <v>283</v>
      </c>
      <c r="BN21" s="5">
        <v>2</v>
      </c>
      <c r="BO21" s="5"/>
      <c r="BP21" s="5"/>
      <c r="BQ21" s="5">
        <v>1</v>
      </c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>
      <c r="A22" s="5" t="s">
        <v>16</v>
      </c>
      <c r="B22" s="5" t="s">
        <v>294</v>
      </c>
      <c r="C22" s="5"/>
      <c r="D22" s="5"/>
      <c r="E22" s="5">
        <v>296</v>
      </c>
      <c r="F22" s="5">
        <v>3</v>
      </c>
      <c r="G22" s="5"/>
      <c r="H22" s="5">
        <v>1777101579168812</v>
      </c>
      <c r="I22" s="5"/>
      <c r="J22" s="5"/>
      <c r="K22" s="5"/>
      <c r="L22" s="5">
        <v>2.384258012802024E+16</v>
      </c>
      <c r="M22" s="5" t="s">
        <v>295</v>
      </c>
      <c r="N22" s="5">
        <v>2.384258012815024E+16</v>
      </c>
      <c r="O22" s="5" t="s">
        <v>296</v>
      </c>
      <c r="P22" s="5"/>
      <c r="Q22" s="5"/>
      <c r="R22" s="5"/>
      <c r="S22" s="5">
        <v>2.384256414009024E+16</v>
      </c>
      <c r="T22" s="5" t="s">
        <v>297</v>
      </c>
      <c r="U22" s="5"/>
      <c r="V22" s="5"/>
      <c r="W22" s="5"/>
      <c r="X22" s="5">
        <v>3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1.1033329999999999</v>
      </c>
      <c r="AK22" s="5">
        <v>11.182432</v>
      </c>
      <c r="AL22" s="5"/>
      <c r="AM22" s="5"/>
      <c r="AN22" s="5" t="s">
        <v>245</v>
      </c>
      <c r="AO22" s="5" t="s">
        <v>246</v>
      </c>
      <c r="AP22" s="5"/>
      <c r="AQ22" s="5"/>
      <c r="AR22" s="5">
        <v>1.15625</v>
      </c>
      <c r="AS22" s="5"/>
      <c r="AT22" s="5">
        <v>296</v>
      </c>
      <c r="AU22" s="5"/>
      <c r="AV22" s="5">
        <v>3</v>
      </c>
      <c r="AW22" s="5">
        <v>3</v>
      </c>
      <c r="AX22" s="5"/>
      <c r="AY22" s="5" t="s">
        <v>77</v>
      </c>
      <c r="AZ22" s="5"/>
      <c r="BA22" s="5"/>
      <c r="BB22" s="5"/>
      <c r="BC22" s="5">
        <v>256</v>
      </c>
      <c r="BD22" s="5"/>
      <c r="BE22" s="5">
        <v>1</v>
      </c>
      <c r="BF22" s="5">
        <v>18</v>
      </c>
      <c r="BG22" s="5">
        <v>10</v>
      </c>
      <c r="BH22" s="5">
        <v>0.21</v>
      </c>
      <c r="BI22" s="5">
        <v>3.31</v>
      </c>
      <c r="BJ22" s="5"/>
      <c r="BK22" s="5">
        <v>3</v>
      </c>
      <c r="BL22" s="5">
        <v>3</v>
      </c>
      <c r="BM22" s="5" t="s">
        <v>284</v>
      </c>
      <c r="BN22" s="5">
        <v>3</v>
      </c>
      <c r="BO22" s="5"/>
      <c r="BP22" s="5"/>
      <c r="BQ22" s="5">
        <v>3</v>
      </c>
      <c r="BR22" s="5"/>
      <c r="BS22" s="5"/>
      <c r="BT22" s="5"/>
      <c r="BU22" s="5">
        <v>1</v>
      </c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</row>
    <row r="23" spans="1:85">
      <c r="A23" s="5" t="s">
        <v>16</v>
      </c>
      <c r="B23" s="5" t="s">
        <v>294</v>
      </c>
      <c r="C23" s="5"/>
      <c r="D23" s="5"/>
      <c r="E23" s="5">
        <v>147</v>
      </c>
      <c r="F23" s="5">
        <v>0</v>
      </c>
      <c r="G23" s="5"/>
      <c r="H23" s="5">
        <v>1777101579168812</v>
      </c>
      <c r="I23" s="5"/>
      <c r="J23" s="5"/>
      <c r="K23" s="5"/>
      <c r="L23" s="5">
        <v>2.384258012799024E+16</v>
      </c>
      <c r="M23" s="5" t="s">
        <v>295</v>
      </c>
      <c r="N23" s="5">
        <v>2.384258012815024E+16</v>
      </c>
      <c r="O23" s="5" t="s">
        <v>296</v>
      </c>
      <c r="P23" s="5"/>
      <c r="Q23" s="5"/>
      <c r="R23" s="5"/>
      <c r="S23" s="5">
        <v>2.384256414009024E+16</v>
      </c>
      <c r="T23" s="5" t="s">
        <v>297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>
        <v>13.877551</v>
      </c>
      <c r="AL23" s="5"/>
      <c r="AM23" s="5"/>
      <c r="AN23" s="5" t="s">
        <v>245</v>
      </c>
      <c r="AO23" s="5" t="s">
        <v>246</v>
      </c>
      <c r="AP23" s="5"/>
      <c r="AQ23" s="5"/>
      <c r="AR23" s="5">
        <v>1.25641</v>
      </c>
      <c r="AS23" s="5"/>
      <c r="AT23" s="5">
        <v>147</v>
      </c>
      <c r="AU23" s="5"/>
      <c r="AV23" s="5"/>
      <c r="AW23" s="5"/>
      <c r="AX23" s="5"/>
      <c r="AY23" s="5" t="s">
        <v>77</v>
      </c>
      <c r="AZ23" s="5"/>
      <c r="BA23" s="5"/>
      <c r="BB23" s="5"/>
      <c r="BC23" s="5">
        <v>117</v>
      </c>
      <c r="BD23" s="5"/>
      <c r="BE23" s="5"/>
      <c r="BF23" s="5">
        <v>5</v>
      </c>
      <c r="BG23" s="5">
        <v>4</v>
      </c>
      <c r="BH23" s="5">
        <v>0.05</v>
      </c>
      <c r="BI23" s="5">
        <v>2.04</v>
      </c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>
      <c r="A24" s="5" t="s">
        <v>16</v>
      </c>
      <c r="B24" s="5" t="s">
        <v>294</v>
      </c>
      <c r="C24" s="5"/>
      <c r="D24" s="5"/>
      <c r="E24" s="5">
        <v>1647</v>
      </c>
      <c r="F24" s="5">
        <v>13</v>
      </c>
      <c r="G24" s="5"/>
      <c r="H24" s="5">
        <v>1777101579168812</v>
      </c>
      <c r="I24" s="5"/>
      <c r="J24" s="5"/>
      <c r="K24" s="5"/>
      <c r="L24" s="5">
        <v>2.384259664516024E+16</v>
      </c>
      <c r="M24" s="5" t="s">
        <v>295</v>
      </c>
      <c r="N24" s="5">
        <v>2.384258012815024E+16</v>
      </c>
      <c r="O24" s="5" t="s">
        <v>296</v>
      </c>
      <c r="P24" s="5"/>
      <c r="Q24" s="5"/>
      <c r="R24" s="5"/>
      <c r="S24" s="5">
        <v>2.384256414009024E+16</v>
      </c>
      <c r="T24" s="5" t="s">
        <v>297</v>
      </c>
      <c r="U24" s="5"/>
      <c r="V24" s="5"/>
      <c r="W24" s="5"/>
      <c r="X24" s="5">
        <v>13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>
        <v>1.5776920000000001</v>
      </c>
      <c r="AK24" s="5">
        <v>12.452945</v>
      </c>
      <c r="AL24" s="5"/>
      <c r="AM24" s="5"/>
      <c r="AN24" s="5" t="s">
        <v>245</v>
      </c>
      <c r="AO24" s="5" t="s">
        <v>246</v>
      </c>
      <c r="AP24" s="5"/>
      <c r="AQ24" s="5"/>
      <c r="AR24" s="5">
        <v>1.1219349999999999</v>
      </c>
      <c r="AS24" s="5"/>
      <c r="AT24" s="5">
        <v>1647</v>
      </c>
      <c r="AU24" s="5"/>
      <c r="AV24" s="5">
        <v>11</v>
      </c>
      <c r="AW24" s="5">
        <v>11</v>
      </c>
      <c r="AX24" s="5"/>
      <c r="AY24" s="5" t="s">
        <v>77</v>
      </c>
      <c r="AZ24" s="5"/>
      <c r="BA24" s="5"/>
      <c r="BB24" s="5"/>
      <c r="BC24" s="5">
        <v>1468</v>
      </c>
      <c r="BD24" s="5">
        <v>4</v>
      </c>
      <c r="BE24" s="5"/>
      <c r="BF24" s="5">
        <v>52</v>
      </c>
      <c r="BG24" s="5">
        <v>43</v>
      </c>
      <c r="BH24" s="5">
        <v>0.5</v>
      </c>
      <c r="BI24" s="5">
        <v>20.51</v>
      </c>
      <c r="BJ24" s="5"/>
      <c r="BK24" s="5">
        <v>11</v>
      </c>
      <c r="BL24" s="5">
        <v>10</v>
      </c>
      <c r="BM24" s="5" t="s">
        <v>285</v>
      </c>
      <c r="BN24" s="5">
        <v>11</v>
      </c>
      <c r="BO24" s="5"/>
      <c r="BP24" s="5"/>
      <c r="BQ24" s="5">
        <v>10</v>
      </c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>
      <c r="A25" s="5" t="s">
        <v>16</v>
      </c>
      <c r="B25" s="5" t="s">
        <v>294</v>
      </c>
      <c r="C25" s="5"/>
      <c r="D25" s="5"/>
      <c r="E25" s="5">
        <v>118</v>
      </c>
      <c r="F25" s="5">
        <v>0</v>
      </c>
      <c r="G25" s="5"/>
      <c r="H25" s="5">
        <v>1777101579168812</v>
      </c>
      <c r="I25" s="5"/>
      <c r="J25" s="5"/>
      <c r="K25" s="5"/>
      <c r="L25" s="5">
        <v>2.384258012816024E+16</v>
      </c>
      <c r="M25" s="5" t="s">
        <v>295</v>
      </c>
      <c r="N25" s="5">
        <v>2.384258012815024E+16</v>
      </c>
      <c r="O25" s="5" t="s">
        <v>296</v>
      </c>
      <c r="P25" s="5"/>
      <c r="Q25" s="5"/>
      <c r="R25" s="5"/>
      <c r="S25" s="5">
        <v>2.384256414009024E+16</v>
      </c>
      <c r="T25" s="5" t="s">
        <v>297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>
        <v>12.033898000000001</v>
      </c>
      <c r="AL25" s="5"/>
      <c r="AM25" s="5"/>
      <c r="AN25" s="5" t="s">
        <v>245</v>
      </c>
      <c r="AO25" s="5" t="s">
        <v>246</v>
      </c>
      <c r="AP25" s="5"/>
      <c r="AQ25" s="5"/>
      <c r="AR25" s="5">
        <v>1.18</v>
      </c>
      <c r="AS25" s="5"/>
      <c r="AT25" s="5">
        <v>118</v>
      </c>
      <c r="AU25" s="5"/>
      <c r="AV25" s="5"/>
      <c r="AW25" s="5"/>
      <c r="AX25" s="5"/>
      <c r="AY25" s="5" t="s">
        <v>77</v>
      </c>
      <c r="AZ25" s="5"/>
      <c r="BA25" s="5"/>
      <c r="BB25" s="5"/>
      <c r="BC25" s="5">
        <v>100</v>
      </c>
      <c r="BD25" s="5"/>
      <c r="BE25" s="5"/>
      <c r="BF25" s="5">
        <v>4</v>
      </c>
      <c r="BG25" s="5">
        <v>4</v>
      </c>
      <c r="BH25" s="5">
        <v>0.03</v>
      </c>
      <c r="BI25" s="5">
        <v>1.42</v>
      </c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>
      <c r="A26" s="5" t="s">
        <v>16</v>
      </c>
      <c r="B26" s="5" t="s">
        <v>294</v>
      </c>
      <c r="C26" s="5"/>
      <c r="D26" s="5"/>
      <c r="E26" s="5">
        <v>1</v>
      </c>
      <c r="F26" s="5">
        <v>0</v>
      </c>
      <c r="G26" s="5"/>
      <c r="H26" s="5">
        <v>1777101579168812</v>
      </c>
      <c r="I26" s="5"/>
      <c r="J26" s="5"/>
      <c r="K26" s="5"/>
      <c r="L26" s="5">
        <v>2.384258884451024E+16</v>
      </c>
      <c r="M26" s="5" t="s">
        <v>295</v>
      </c>
      <c r="N26" s="5">
        <v>2.384258012815024E+16</v>
      </c>
      <c r="O26" s="5" t="s">
        <v>296</v>
      </c>
      <c r="P26" s="5"/>
      <c r="Q26" s="5"/>
      <c r="R26" s="5"/>
      <c r="S26" s="5">
        <v>2.384256414009024E+16</v>
      </c>
      <c r="T26" s="5" t="s">
        <v>297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>
        <v>10</v>
      </c>
      <c r="AL26" s="5"/>
      <c r="AM26" s="5"/>
      <c r="AN26" s="5" t="s">
        <v>245</v>
      </c>
      <c r="AO26" s="5" t="s">
        <v>246</v>
      </c>
      <c r="AP26" s="5"/>
      <c r="AQ26" s="5"/>
      <c r="AR26" s="5">
        <v>1</v>
      </c>
      <c r="AS26" s="5"/>
      <c r="AT26" s="5">
        <v>1</v>
      </c>
      <c r="AU26" s="5"/>
      <c r="AV26" s="5"/>
      <c r="AW26" s="5"/>
      <c r="AX26" s="5"/>
      <c r="AY26" s="5" t="s">
        <v>77</v>
      </c>
      <c r="AZ26" s="5"/>
      <c r="BA26" s="5"/>
      <c r="BB26" s="5"/>
      <c r="BC26" s="5">
        <v>1</v>
      </c>
      <c r="BD26" s="5"/>
      <c r="BE26" s="5"/>
      <c r="BF26" s="5"/>
      <c r="BG26" s="5"/>
      <c r="BH26" s="5"/>
      <c r="BI26" s="5">
        <v>0.01</v>
      </c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>
      <c r="A27" s="5" t="s">
        <v>16</v>
      </c>
      <c r="B27" s="5" t="s">
        <v>294</v>
      </c>
      <c r="C27" s="5"/>
      <c r="D27" s="5"/>
      <c r="E27" s="5">
        <v>41</v>
      </c>
      <c r="F27" s="5">
        <v>2</v>
      </c>
      <c r="G27" s="5"/>
      <c r="H27" s="5">
        <v>1777101579168812</v>
      </c>
      <c r="I27" s="5"/>
      <c r="J27" s="5"/>
      <c r="K27" s="5"/>
      <c r="L27" s="5">
        <v>2.384258559965024E+16</v>
      </c>
      <c r="M27" s="5" t="s">
        <v>295</v>
      </c>
      <c r="N27" s="5">
        <v>2.384258012815024E+16</v>
      </c>
      <c r="O27" s="5" t="s">
        <v>296</v>
      </c>
      <c r="P27" s="5"/>
      <c r="Q27" s="5"/>
      <c r="R27" s="5"/>
      <c r="S27" s="5">
        <v>2.384256414009024E+16</v>
      </c>
      <c r="T27" s="5" t="s">
        <v>297</v>
      </c>
      <c r="U27" s="5"/>
      <c r="V27" s="5"/>
      <c r="W27" s="5"/>
      <c r="X27" s="5">
        <v>2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>
        <v>0.35</v>
      </c>
      <c r="AK27" s="5">
        <v>17.073170999999999</v>
      </c>
      <c r="AL27" s="5"/>
      <c r="AM27" s="5"/>
      <c r="AN27" s="5" t="s">
        <v>245</v>
      </c>
      <c r="AO27" s="5" t="s">
        <v>246</v>
      </c>
      <c r="AP27" s="5"/>
      <c r="AQ27" s="5"/>
      <c r="AR27" s="5">
        <v>1.242424</v>
      </c>
      <c r="AS27" s="5"/>
      <c r="AT27" s="5">
        <v>41</v>
      </c>
      <c r="AU27" s="5"/>
      <c r="AV27" s="5"/>
      <c r="AW27" s="5">
        <v>1</v>
      </c>
      <c r="AX27" s="5"/>
      <c r="AY27" s="5" t="s">
        <v>77</v>
      </c>
      <c r="AZ27" s="5"/>
      <c r="BA27" s="5"/>
      <c r="BB27" s="5"/>
      <c r="BC27" s="5">
        <v>33</v>
      </c>
      <c r="BD27" s="5"/>
      <c r="BE27" s="5">
        <v>1</v>
      </c>
      <c r="BF27" s="5">
        <v>4</v>
      </c>
      <c r="BG27" s="5">
        <v>4</v>
      </c>
      <c r="BH27" s="5">
        <v>0.12</v>
      </c>
      <c r="BI27" s="5">
        <v>0.7</v>
      </c>
      <c r="BJ27" s="5"/>
      <c r="BK27" s="5">
        <v>1</v>
      </c>
      <c r="BL27" s="5">
        <v>1</v>
      </c>
      <c r="BM27" s="5" t="s">
        <v>286</v>
      </c>
      <c r="BN27" s="5">
        <v>2</v>
      </c>
      <c r="BO27" s="5"/>
      <c r="BP27" s="5"/>
      <c r="BQ27" s="5"/>
      <c r="BR27" s="5"/>
      <c r="BS27" s="5"/>
      <c r="BT27" s="5"/>
      <c r="BU27" s="5">
        <v>1</v>
      </c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</sheetData>
  <sheetProtection formatCells="0" formatColumns="0" formatRows="0" insertColumns="0" insertRows="0" insertHyperlinks="0" deleteColumns="0" deleteRows="0" sort="0" autoFilter="0" pivotTables="0"/>
  <mergeCells count="1">
    <mergeCell ref="J1:L1"/>
  </mergeCells>
  <pageMargins left="0.4" right="0.7" top="0.75" bottom="0.75" header="0.3" footer="0.3"/>
  <pageSetup paperSize="9" orientation="portrait"/>
  <headerFooter>
    <oddFooter>&amp;L&amp;BExport (od H3.0 DEMO)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Facebook Ads Report</vt:lpstr>
      <vt:lpstr>per Ad</vt:lpstr>
      <vt:lpstr>Demographics</vt:lpstr>
      <vt:lpstr>RAW data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(od H3.0 DEMO)</dc:title>
  <dc:subject>Export (od H3.0 DEMO)</dc:subject>
  <dc:creator>jan.suda@h20.cz</dc:creator>
  <cp:keywords/>
  <dc:description/>
  <cp:lastModifiedBy>Jan Suda</cp:lastModifiedBy>
  <dcterms:created xsi:type="dcterms:W3CDTF">2017-11-01T23:26:56Z</dcterms:created>
  <dcterms:modified xsi:type="dcterms:W3CDTF">2017-11-02T15:40:10Z</dcterms:modified>
  <cp:category/>
</cp:coreProperties>
</file>